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 codeName="{4AEB4F63-F33D-04DF-ECAF-5796C6CBFC7C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chchr\Desktop\"/>
    </mc:Choice>
  </mc:AlternateContent>
  <xr:revisionPtr revIDLastSave="0" documentId="13_ncr:1_{0CCD1BC8-91E3-4EAF-AB61-7BE4436D1B38}" xr6:coauthVersionLast="45" xr6:coauthVersionMax="45" xr10:uidLastSave="{00000000-0000-0000-0000-000000000000}"/>
  <bookViews>
    <workbookView xWindow="-108" yWindow="-108" windowWidth="23256" windowHeight="12576" tabRatio="903" activeTab="5" xr2:uid="{00000000-000D-0000-FFFF-FFFF00000000}"/>
  </bookViews>
  <sheets>
    <sheet name="Anleitung" sheetId="21" r:id="rId1"/>
    <sheet name="MASTER" sheetId="5" r:id="rId2"/>
    <sheet name="Gruppeneinteilung" sheetId="4" r:id="rId3"/>
    <sheet name="Spielplan Versand" sheetId="6" r:id="rId4"/>
    <sheet name="Resultate VR" sheetId="7" r:id="rId5"/>
    <sheet name="Schlussrangliste" sheetId="23" r:id="rId6"/>
    <sheet name="Spielberichte" sheetId="24" r:id="rId7"/>
  </sheets>
  <definedNames>
    <definedName name="_xlnm.Print_Area" localSheetId="0">Anleitung!$A$1:$A$56</definedName>
    <definedName name="_xlnm.Print_Area" localSheetId="1">MASTER!#REF!</definedName>
    <definedName name="_xlnm.Print_Area" localSheetId="4">'Resultate VR'!$A$1:$Z$81</definedName>
    <definedName name="_xlnm.Print_Area" localSheetId="5">Schlussrangliste!$A$1:$E$23</definedName>
    <definedName name="_xlnm.Print_Area" localSheetId="6">Spielberichte!$A$1:$AG$36</definedName>
    <definedName name="_xlnm.Print_Area" localSheetId="3">'Spielplan Versand'!$A$1:$R$46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H39" i="7" l="1"/>
  <c r="AH38" i="7"/>
  <c r="AH37" i="7"/>
  <c r="AQ6" i="7"/>
  <c r="AR6" i="7"/>
  <c r="AS6" i="7"/>
  <c r="AT6" i="7"/>
  <c r="AU6" i="7"/>
  <c r="AV6" i="7"/>
  <c r="AI6" i="7"/>
  <c r="AI7" i="7"/>
  <c r="AH19" i="7"/>
  <c r="AR11" i="7"/>
  <c r="AQ11" i="7"/>
  <c r="AT11" i="7"/>
  <c r="AS11" i="7"/>
  <c r="AV11" i="7"/>
  <c r="AU11" i="7"/>
  <c r="AI11" i="7"/>
  <c r="AI13" i="7"/>
  <c r="AH20" i="7"/>
  <c r="AH18" i="7"/>
  <c r="AR48" i="7"/>
  <c r="AT48" i="7"/>
  <c r="AN48" i="7"/>
  <c r="AQ48" i="7"/>
  <c r="AS48" i="7"/>
  <c r="AM48" i="7"/>
  <c r="AO48" i="7"/>
  <c r="AQ50" i="7"/>
  <c r="AS50" i="7"/>
  <c r="AM50" i="7"/>
  <c r="AR50" i="7"/>
  <c r="AT50" i="7"/>
  <c r="AN50" i="7"/>
  <c r="AO50" i="7"/>
  <c r="AQ51" i="7"/>
  <c r="AS51" i="7"/>
  <c r="AM51" i="7"/>
  <c r="AR51" i="7"/>
  <c r="AT51" i="7"/>
  <c r="AN51" i="7"/>
  <c r="AO51" i="7"/>
  <c r="AQ49" i="7"/>
  <c r="AS49" i="7"/>
  <c r="AM49" i="7"/>
  <c r="AR49" i="7"/>
  <c r="AT49" i="7"/>
  <c r="AN49" i="7"/>
  <c r="AO49" i="7"/>
  <c r="AO52" i="7"/>
  <c r="AK75" i="7"/>
  <c r="AN52" i="7"/>
  <c r="AJ75" i="7"/>
  <c r="AM52" i="7"/>
  <c r="AI75" i="7"/>
  <c r="AJ48" i="7"/>
  <c r="AJ50" i="7"/>
  <c r="AJ51" i="7"/>
  <c r="AJ49" i="7"/>
  <c r="AJ52" i="7"/>
  <c r="AH75" i="7"/>
  <c r="AH48" i="7"/>
  <c r="AH50" i="7"/>
  <c r="AH51" i="7"/>
  <c r="AH49" i="7"/>
  <c r="AH52" i="7"/>
  <c r="AG75" i="7"/>
  <c r="AQ43" i="7"/>
  <c r="AS43" i="7"/>
  <c r="AM43" i="7"/>
  <c r="AR43" i="7"/>
  <c r="AT43" i="7"/>
  <c r="AN43" i="7"/>
  <c r="AO43" i="7"/>
  <c r="AQ46" i="7"/>
  <c r="AS46" i="7"/>
  <c r="AM46" i="7"/>
  <c r="AR46" i="7"/>
  <c r="AT46" i="7"/>
  <c r="AN46" i="7"/>
  <c r="AO46" i="7"/>
  <c r="AQ44" i="7"/>
  <c r="AS44" i="7"/>
  <c r="AM44" i="7"/>
  <c r="AR44" i="7"/>
  <c r="AT44" i="7"/>
  <c r="AN44" i="7"/>
  <c r="AO44" i="7"/>
  <c r="AQ45" i="7"/>
  <c r="AS45" i="7"/>
  <c r="AM45" i="7"/>
  <c r="AR45" i="7"/>
  <c r="AT45" i="7"/>
  <c r="AN45" i="7"/>
  <c r="AO45" i="7"/>
  <c r="AO47" i="7"/>
  <c r="AK72" i="7"/>
  <c r="AN47" i="7"/>
  <c r="AJ72" i="7"/>
  <c r="AM47" i="7"/>
  <c r="AI72" i="7"/>
  <c r="AJ43" i="7"/>
  <c r="AJ46" i="7"/>
  <c r="AJ44" i="7"/>
  <c r="AJ45" i="7"/>
  <c r="AJ47" i="7"/>
  <c r="AH72" i="7"/>
  <c r="AH43" i="7"/>
  <c r="AH46" i="7"/>
  <c r="AH44" i="7"/>
  <c r="AH45" i="7"/>
  <c r="AH47" i="7"/>
  <c r="AG72" i="7"/>
  <c r="AV66" i="7"/>
  <c r="AU66" i="7"/>
  <c r="AT66" i="7"/>
  <c r="AS66" i="7"/>
  <c r="AR66" i="7"/>
  <c r="AQ66" i="7"/>
  <c r="AV65" i="7"/>
  <c r="AU65" i="7"/>
  <c r="AT65" i="7"/>
  <c r="AS65" i="7"/>
  <c r="AR65" i="7"/>
  <c r="AQ65" i="7"/>
  <c r="AV64" i="7"/>
  <c r="AU64" i="7"/>
  <c r="AT64" i="7"/>
  <c r="AS64" i="7"/>
  <c r="AR64" i="7"/>
  <c r="AQ64" i="7"/>
  <c r="AV63" i="7"/>
  <c r="AU63" i="7"/>
  <c r="AT63" i="7"/>
  <c r="AS63" i="7"/>
  <c r="AR63" i="7"/>
  <c r="AQ63" i="7"/>
  <c r="AV61" i="7"/>
  <c r="AU61" i="7"/>
  <c r="AT61" i="7"/>
  <c r="AS61" i="7"/>
  <c r="AR61" i="7"/>
  <c r="AQ61" i="7"/>
  <c r="AV60" i="7"/>
  <c r="AU60" i="7"/>
  <c r="AT60" i="7"/>
  <c r="AS60" i="7"/>
  <c r="AR60" i="7"/>
  <c r="AQ60" i="7"/>
  <c r="AM63" i="7"/>
  <c r="AN63" i="7"/>
  <c r="AO63" i="7"/>
  <c r="AM64" i="7"/>
  <c r="AN64" i="7"/>
  <c r="AO64" i="7"/>
  <c r="AM65" i="7"/>
  <c r="AN65" i="7"/>
  <c r="AO65" i="7"/>
  <c r="AM66" i="7"/>
  <c r="AN66" i="7"/>
  <c r="AO66" i="7"/>
  <c r="AO67" i="7"/>
  <c r="AN67" i="7"/>
  <c r="AM67" i="7"/>
  <c r="AJ63" i="7"/>
  <c r="AK63" i="7"/>
  <c r="AL63" i="7"/>
  <c r="AJ64" i="7"/>
  <c r="AK64" i="7"/>
  <c r="AL64" i="7"/>
  <c r="AJ65" i="7"/>
  <c r="AK65" i="7"/>
  <c r="AL65" i="7"/>
  <c r="AJ66" i="7"/>
  <c r="AK66" i="7"/>
  <c r="AL66" i="7"/>
  <c r="AL67" i="7"/>
  <c r="AK67" i="7"/>
  <c r="AJ67" i="7"/>
  <c r="AI63" i="7"/>
  <c r="AI64" i="7"/>
  <c r="AI65" i="7"/>
  <c r="AI66" i="7"/>
  <c r="AI67" i="7"/>
  <c r="AH63" i="7"/>
  <c r="AH64" i="7"/>
  <c r="AH65" i="7"/>
  <c r="AH66" i="7"/>
  <c r="AH67" i="7"/>
  <c r="AQ58" i="7"/>
  <c r="AS58" i="7"/>
  <c r="AM58" i="7"/>
  <c r="AR58" i="7"/>
  <c r="AT58" i="7"/>
  <c r="AN58" i="7"/>
  <c r="AO58" i="7"/>
  <c r="AQ59" i="7"/>
  <c r="AS59" i="7"/>
  <c r="AM59" i="7"/>
  <c r="AR59" i="7"/>
  <c r="AT59" i="7"/>
  <c r="AN59" i="7"/>
  <c r="AO59" i="7"/>
  <c r="AM60" i="7"/>
  <c r="AN60" i="7"/>
  <c r="AO60" i="7"/>
  <c r="AM61" i="7"/>
  <c r="AN61" i="7"/>
  <c r="AO61" i="7"/>
  <c r="AO62" i="7"/>
  <c r="AN62" i="7"/>
  <c r="AM62" i="7"/>
  <c r="AJ58" i="7"/>
  <c r="AK58" i="7"/>
  <c r="AL58" i="7"/>
  <c r="AJ59" i="7"/>
  <c r="AK59" i="7"/>
  <c r="AL59" i="7"/>
  <c r="AJ60" i="7"/>
  <c r="AK60" i="7"/>
  <c r="AL60" i="7"/>
  <c r="AJ61" i="7"/>
  <c r="AK61" i="7"/>
  <c r="AL61" i="7"/>
  <c r="AL62" i="7"/>
  <c r="AK62" i="7"/>
  <c r="AJ62" i="7"/>
  <c r="AI58" i="7"/>
  <c r="AI59" i="7"/>
  <c r="AI60" i="7"/>
  <c r="AI61" i="7"/>
  <c r="AI62" i="7"/>
  <c r="AH58" i="7"/>
  <c r="AH59" i="7"/>
  <c r="AH60" i="7"/>
  <c r="AH61" i="7"/>
  <c r="AH62" i="7"/>
  <c r="AS3" i="24"/>
  <c r="C11" i="7"/>
  <c r="AS9" i="24"/>
  <c r="C12" i="7"/>
  <c r="B54" i="7"/>
  <c r="AB54" i="7"/>
  <c r="C24" i="7"/>
  <c r="E54" i="7"/>
  <c r="AC54" i="7"/>
  <c r="AS11" i="24"/>
  <c r="AB62" i="7"/>
  <c r="AS13" i="24"/>
  <c r="AB72" i="7"/>
  <c r="AS15" i="24"/>
  <c r="A11" i="24"/>
  <c r="AR3" i="24"/>
  <c r="AB56" i="7"/>
  <c r="E62" i="7"/>
  <c r="AR11" i="24"/>
  <c r="P8" i="24"/>
  <c r="AQ3" i="24"/>
  <c r="AQ9" i="24"/>
  <c r="B62" i="7"/>
  <c r="AQ11" i="24"/>
  <c r="A8" i="24"/>
  <c r="AF3" i="24"/>
  <c r="AD3" i="24"/>
  <c r="AB3" i="24"/>
  <c r="A3" i="24"/>
  <c r="AQ22" i="24"/>
  <c r="AQ19" i="24"/>
  <c r="AQ18" i="24"/>
  <c r="AR25" i="24"/>
  <c r="AQ25" i="24"/>
  <c r="AR24" i="24"/>
  <c r="AQ24" i="24"/>
  <c r="AR23" i="24"/>
  <c r="AQ23" i="24"/>
  <c r="AS25" i="24"/>
  <c r="AS24" i="24"/>
  <c r="AS23" i="24"/>
  <c r="AS22" i="24"/>
  <c r="AS21" i="24"/>
  <c r="AS20" i="24"/>
  <c r="AS19" i="24"/>
  <c r="AS18" i="24"/>
  <c r="AS17" i="24"/>
  <c r="AS16" i="24"/>
  <c r="AS8" i="24"/>
  <c r="AS7" i="24"/>
  <c r="AS6" i="24"/>
  <c r="AS5" i="24"/>
  <c r="AS4" i="24"/>
  <c r="AR22" i="24"/>
  <c r="AR21" i="24"/>
  <c r="AQ21" i="24"/>
  <c r="AR20" i="24"/>
  <c r="AQ20" i="24"/>
  <c r="AR19" i="24"/>
  <c r="AR18" i="24"/>
  <c r="AR17" i="24"/>
  <c r="AQ17" i="24"/>
  <c r="AR16" i="24"/>
  <c r="AQ16" i="24"/>
  <c r="AR8" i="24"/>
  <c r="AQ8" i="24"/>
  <c r="AR7" i="24"/>
  <c r="AQ7" i="24"/>
  <c r="AR6" i="24"/>
  <c r="AQ6" i="24"/>
  <c r="AR5" i="24"/>
  <c r="AQ5" i="24"/>
  <c r="AR4" i="24"/>
  <c r="AQ4" i="24"/>
  <c r="A3" i="7"/>
  <c r="A49" i="7"/>
  <c r="AF63" i="7"/>
  <c r="AF58" i="7"/>
  <c r="AF53" i="7"/>
  <c r="AF48" i="7"/>
  <c r="AF43" i="7"/>
  <c r="E37" i="7"/>
  <c r="B37" i="7"/>
  <c r="E36" i="7"/>
  <c r="B36" i="7"/>
  <c r="E35" i="7"/>
  <c r="B35" i="7"/>
  <c r="E34" i="7"/>
  <c r="B34" i="7"/>
  <c r="E33" i="7"/>
  <c r="B33" i="7"/>
  <c r="E32" i="7"/>
  <c r="B32" i="7"/>
  <c r="E31" i="7"/>
  <c r="B31" i="7"/>
  <c r="AF30" i="7"/>
  <c r="E30" i="7"/>
  <c r="B30" i="7"/>
  <c r="E29" i="7"/>
  <c r="B29" i="7"/>
  <c r="E28" i="7"/>
  <c r="B28" i="7"/>
  <c r="AF27" i="7"/>
  <c r="AF24" i="7"/>
  <c r="E19" i="7"/>
  <c r="B19" i="7"/>
  <c r="E18" i="7"/>
  <c r="B18" i="7"/>
  <c r="E17" i="7"/>
  <c r="B17" i="7"/>
  <c r="AF11" i="7"/>
  <c r="AF8" i="7"/>
  <c r="E8" i="7"/>
  <c r="B8" i="7"/>
  <c r="E7" i="7"/>
  <c r="B7" i="7"/>
  <c r="E6" i="7"/>
  <c r="B6" i="7"/>
  <c r="AF5" i="7"/>
  <c r="BK34" i="7"/>
  <c r="BJ34" i="7"/>
  <c r="BI34" i="7"/>
  <c r="BH34" i="7"/>
  <c r="BG34" i="7"/>
  <c r="BF34" i="7"/>
  <c r="BE34" i="7"/>
  <c r="BD34" i="7"/>
  <c r="BC34" i="7"/>
  <c r="BB34" i="7"/>
  <c r="AZ34" i="7"/>
  <c r="AY34" i="7"/>
  <c r="AX34" i="7"/>
  <c r="AW34" i="7"/>
  <c r="AV31" i="7"/>
  <c r="AU31" i="7"/>
  <c r="AT31" i="7"/>
  <c r="AS31" i="7"/>
  <c r="AR31" i="7"/>
  <c r="AQ31" i="7"/>
  <c r="AV30" i="7"/>
  <c r="AU30" i="7"/>
  <c r="AT30" i="7"/>
  <c r="AS30" i="7"/>
  <c r="AR30" i="7"/>
  <c r="AQ30" i="7"/>
  <c r="AF38" i="7"/>
  <c r="G21" i="7"/>
  <c r="F21" i="7"/>
  <c r="E21" i="7"/>
  <c r="AV28" i="7"/>
  <c r="AU28" i="7"/>
  <c r="AT28" i="7"/>
  <c r="AS28" i="7"/>
  <c r="AR28" i="7"/>
  <c r="AQ28" i="7"/>
  <c r="AV27" i="7"/>
  <c r="AU27" i="7"/>
  <c r="AT27" i="7"/>
  <c r="AS27" i="7"/>
  <c r="AR27" i="7"/>
  <c r="AQ27" i="7"/>
  <c r="AF37" i="7"/>
  <c r="AV25" i="7"/>
  <c r="AU25" i="7"/>
  <c r="AT25" i="7"/>
  <c r="AS25" i="7"/>
  <c r="AR25" i="7"/>
  <c r="AQ25" i="7"/>
  <c r="AV24" i="7"/>
  <c r="AU24" i="7"/>
  <c r="AT24" i="7"/>
  <c r="AS24" i="7"/>
  <c r="AR24" i="7"/>
  <c r="AQ24" i="7"/>
  <c r="AM24" i="7"/>
  <c r="AF39" i="7"/>
  <c r="AM31" i="7"/>
  <c r="AM25" i="7"/>
  <c r="AM26" i="7"/>
  <c r="AI39" i="7"/>
  <c r="AN31" i="7"/>
  <c r="AK30" i="7"/>
  <c r="AK28" i="7"/>
  <c r="AI25" i="7"/>
  <c r="AK27" i="7"/>
  <c r="AK31" i="7"/>
  <c r="AI28" i="7"/>
  <c r="AS34" i="7"/>
  <c r="AI30" i="7"/>
  <c r="AJ31" i="7"/>
  <c r="AH27" i="7"/>
  <c r="AH28" i="7"/>
  <c r="AN24" i="7"/>
  <c r="AI27" i="7"/>
  <c r="AN25" i="7"/>
  <c r="AO25" i="7"/>
  <c r="AN30" i="7"/>
  <c r="AU34" i="7"/>
  <c r="AH31" i="7"/>
  <c r="AV34" i="7"/>
  <c r="AJ27" i="7"/>
  <c r="AJ28" i="7"/>
  <c r="AT34" i="7"/>
  <c r="AN27" i="7"/>
  <c r="AN28" i="7"/>
  <c r="AI31" i="7"/>
  <c r="AM30" i="7"/>
  <c r="AH24" i="7"/>
  <c r="AH25" i="7"/>
  <c r="AM27" i="7"/>
  <c r="AM28" i="7"/>
  <c r="AQ34" i="7"/>
  <c r="AJ24" i="7"/>
  <c r="AJ25" i="7"/>
  <c r="AR34" i="7"/>
  <c r="AI24" i="7"/>
  <c r="AI26" i="7"/>
  <c r="AH30" i="7"/>
  <c r="AK24" i="7"/>
  <c r="AK25" i="7"/>
  <c r="AJ30" i="7"/>
  <c r="R42" i="6"/>
  <c r="R37" i="6"/>
  <c r="R41" i="6"/>
  <c r="R40" i="6"/>
  <c r="R39" i="6"/>
  <c r="R38" i="6"/>
  <c r="R36" i="6"/>
  <c r="R35" i="6"/>
  <c r="R34" i="6"/>
  <c r="R33" i="6"/>
  <c r="Q41" i="6"/>
  <c r="Q39" i="6"/>
  <c r="Q37" i="6"/>
  <c r="Q35" i="6"/>
  <c r="Q42" i="6"/>
  <c r="Q40" i="6"/>
  <c r="O37" i="6"/>
  <c r="Q34" i="6"/>
  <c r="O41" i="6"/>
  <c r="Q38" i="6"/>
  <c r="Q36" i="6"/>
  <c r="O34" i="6"/>
  <c r="O36" i="6"/>
  <c r="O39" i="6"/>
  <c r="O42" i="6"/>
  <c r="Q33" i="6"/>
  <c r="O38" i="6"/>
  <c r="O40" i="6"/>
  <c r="O35" i="6"/>
  <c r="O33" i="6"/>
  <c r="N34" i="6"/>
  <c r="N35" i="6"/>
  <c r="N36" i="6"/>
  <c r="N37" i="6"/>
  <c r="N38" i="6"/>
  <c r="N39" i="6"/>
  <c r="N40" i="6"/>
  <c r="N41" i="6"/>
  <c r="N42" i="6"/>
  <c r="C37" i="6"/>
  <c r="C36" i="6"/>
  <c r="C35" i="6"/>
  <c r="C34" i="6"/>
  <c r="C33" i="6"/>
  <c r="H23" i="6"/>
  <c r="H24" i="6"/>
  <c r="H25" i="6"/>
  <c r="B24" i="6"/>
  <c r="B25" i="6"/>
  <c r="H26" i="6"/>
  <c r="B17" i="6"/>
  <c r="B18" i="6"/>
  <c r="H16" i="6"/>
  <c r="H17" i="6"/>
  <c r="H18" i="6"/>
  <c r="L18" i="6"/>
  <c r="K18" i="6"/>
  <c r="I18" i="6"/>
  <c r="L17" i="6"/>
  <c r="K17" i="6"/>
  <c r="I17" i="6"/>
  <c r="F18" i="6"/>
  <c r="F16" i="6"/>
  <c r="K16" i="6"/>
  <c r="I16" i="6"/>
  <c r="I9" i="6"/>
  <c r="I8" i="6"/>
  <c r="I7" i="6"/>
  <c r="C9" i="6"/>
  <c r="C8" i="6"/>
  <c r="C7" i="6"/>
  <c r="A20" i="6"/>
  <c r="A3" i="6"/>
  <c r="A3" i="4"/>
  <c r="A2" i="24"/>
  <c r="AF73" i="7"/>
  <c r="C42" i="7"/>
  <c r="V5" i="24"/>
  <c r="A2" i="23"/>
  <c r="A2" i="7"/>
  <c r="A48" i="7"/>
  <c r="A2" i="6"/>
  <c r="A2" i="4"/>
  <c r="E5" i="24"/>
  <c r="AU45" i="7"/>
  <c r="AU44" i="7"/>
  <c r="AU46" i="7"/>
  <c r="AV46" i="7"/>
  <c r="AK49" i="23"/>
  <c r="AJ49" i="23"/>
  <c r="AI49" i="23"/>
  <c r="AH49" i="23"/>
  <c r="AG49" i="23"/>
  <c r="BK44" i="23"/>
  <c r="BJ44" i="23"/>
  <c r="BI44" i="23"/>
  <c r="BH44" i="23"/>
  <c r="BG44" i="23"/>
  <c r="BF44" i="23"/>
  <c r="BE44" i="23"/>
  <c r="BD44" i="23"/>
  <c r="BC44" i="23"/>
  <c r="BB44" i="23"/>
  <c r="AZ44" i="23"/>
  <c r="AY44" i="23"/>
  <c r="AX44" i="23"/>
  <c r="AW44" i="23"/>
  <c r="AV41" i="23"/>
  <c r="AU41" i="23"/>
  <c r="AT41" i="23"/>
  <c r="AR41" i="23"/>
  <c r="AN41" i="23"/>
  <c r="AS41" i="23"/>
  <c r="AQ41" i="23"/>
  <c r="AJ41" i="23"/>
  <c r="AV40" i="23"/>
  <c r="AU40" i="23"/>
  <c r="AT40" i="23"/>
  <c r="AS40" i="23"/>
  <c r="AR40" i="23"/>
  <c r="AQ40" i="23"/>
  <c r="AJ40" i="23"/>
  <c r="AV39" i="23"/>
  <c r="AU39" i="23"/>
  <c r="AT39" i="23"/>
  <c r="AS39" i="23"/>
  <c r="AR39" i="23"/>
  <c r="AQ39" i="23"/>
  <c r="AH39" i="23"/>
  <c r="AV38" i="23"/>
  <c r="AU38" i="23"/>
  <c r="AT38" i="23"/>
  <c r="AS38" i="23"/>
  <c r="AQ38" i="23"/>
  <c r="AR38" i="23"/>
  <c r="AI38" i="23"/>
  <c r="AI42" i="23"/>
  <c r="AH38" i="23"/>
  <c r="AF38" i="23"/>
  <c r="AF50" i="23"/>
  <c r="AV36" i="23"/>
  <c r="AU36" i="23"/>
  <c r="AT36" i="23"/>
  <c r="AS36" i="23"/>
  <c r="AQ36" i="23"/>
  <c r="AM36" i="23"/>
  <c r="AR36" i="23"/>
  <c r="AV35" i="23"/>
  <c r="AU35" i="23"/>
  <c r="AT35" i="23"/>
  <c r="AS35" i="23"/>
  <c r="AR35" i="23"/>
  <c r="AQ35" i="23"/>
  <c r="AH35" i="23"/>
  <c r="AV34" i="23"/>
  <c r="AU34" i="23"/>
  <c r="AT34" i="23"/>
  <c r="AS34" i="23"/>
  <c r="AQ34" i="23"/>
  <c r="AM34" i="23"/>
  <c r="AR34" i="23"/>
  <c r="AV33" i="23"/>
  <c r="AU33" i="23"/>
  <c r="AT33" i="23"/>
  <c r="AS33" i="23"/>
  <c r="AR33" i="23"/>
  <c r="AQ33" i="23"/>
  <c r="AF33" i="23"/>
  <c r="AF51" i="23"/>
  <c r="AV31" i="23"/>
  <c r="AU31" i="23"/>
  <c r="AQ31" i="23"/>
  <c r="AS31" i="23"/>
  <c r="AM31" i="23"/>
  <c r="AT31" i="23"/>
  <c r="AR31" i="23"/>
  <c r="AV30" i="23"/>
  <c r="AU30" i="23"/>
  <c r="AT30" i="23"/>
  <c r="AQ30" i="23"/>
  <c r="AR30" i="23"/>
  <c r="AS30" i="23"/>
  <c r="AK30" i="23"/>
  <c r="AM30" i="23"/>
  <c r="AI30" i="23"/>
  <c r="AV29" i="23"/>
  <c r="AU29" i="23"/>
  <c r="AT29" i="23"/>
  <c r="AS29" i="23"/>
  <c r="AR29" i="23"/>
  <c r="AQ29" i="23"/>
  <c r="AI29" i="23"/>
  <c r="AV28" i="23"/>
  <c r="AU28" i="23"/>
  <c r="AT28" i="23"/>
  <c r="AS28" i="23"/>
  <c r="AR28" i="23"/>
  <c r="AQ28" i="23"/>
  <c r="AH28" i="23"/>
  <c r="AF28" i="23"/>
  <c r="AF47" i="23"/>
  <c r="AV26" i="23"/>
  <c r="AU26" i="23"/>
  <c r="AT26" i="23"/>
  <c r="AS26" i="23"/>
  <c r="AR26" i="23"/>
  <c r="AQ26" i="23"/>
  <c r="AI26" i="23"/>
  <c r="AV25" i="23"/>
  <c r="AR25" i="23"/>
  <c r="AT25" i="23"/>
  <c r="AN25" i="23"/>
  <c r="AU25" i="23"/>
  <c r="AS25" i="23"/>
  <c r="AQ25" i="23"/>
  <c r="AV24" i="23"/>
  <c r="AU24" i="23"/>
  <c r="AT24" i="23"/>
  <c r="AS24" i="23"/>
  <c r="AR24" i="23"/>
  <c r="AQ24" i="23"/>
  <c r="AV23" i="23"/>
  <c r="AV44" i="23"/>
  <c r="AU23" i="23"/>
  <c r="AU44" i="23"/>
  <c r="AT23" i="23"/>
  <c r="AT44" i="23"/>
  <c r="AS23" i="23"/>
  <c r="AR23" i="23"/>
  <c r="AR44" i="23"/>
  <c r="AQ23" i="23"/>
  <c r="AF23" i="23"/>
  <c r="AF48" i="23"/>
  <c r="AS44" i="23"/>
  <c r="AF49" i="23"/>
  <c r="AD1" i="23"/>
  <c r="A1" i="23"/>
  <c r="AI23" i="23"/>
  <c r="AI27" i="23"/>
  <c r="AH31" i="23"/>
  <c r="AM25" i="23"/>
  <c r="AN40" i="23"/>
  <c r="AK39" i="23"/>
  <c r="AH41" i="23"/>
  <c r="AN38" i="23"/>
  <c r="AN42" i="23"/>
  <c r="AJ50" i="23"/>
  <c r="AJ34" i="23"/>
  <c r="AQ44" i="23"/>
  <c r="AR8" i="7"/>
  <c r="AQ8" i="7"/>
  <c r="AQ5" i="7"/>
  <c r="AR5" i="7"/>
  <c r="AF74" i="7"/>
  <c r="C44" i="7"/>
  <c r="C19" i="23"/>
  <c r="AF76" i="7"/>
  <c r="C43" i="7"/>
  <c r="C18" i="23"/>
  <c r="AV59" i="7"/>
  <c r="AU59" i="7"/>
  <c r="AV58" i="7"/>
  <c r="AU58" i="7"/>
  <c r="AV56" i="7"/>
  <c r="AU56" i="7"/>
  <c r="AT56" i="7"/>
  <c r="AS56" i="7"/>
  <c r="AR56" i="7"/>
  <c r="AQ56" i="7"/>
  <c r="AV55" i="7"/>
  <c r="AU55" i="7"/>
  <c r="AT55" i="7"/>
  <c r="AS55" i="7"/>
  <c r="AR55" i="7"/>
  <c r="AQ55" i="7"/>
  <c r="AV54" i="7"/>
  <c r="AU54" i="7"/>
  <c r="AT54" i="7"/>
  <c r="AS54" i="7"/>
  <c r="AR54" i="7"/>
  <c r="AQ54" i="7"/>
  <c r="AV53" i="7"/>
  <c r="AU53" i="7"/>
  <c r="AT53" i="7"/>
  <c r="AS53" i="7"/>
  <c r="AR53" i="7"/>
  <c r="AQ53" i="7"/>
  <c r="AV51" i="7"/>
  <c r="AU51" i="7"/>
  <c r="AV50" i="7"/>
  <c r="AU50" i="7"/>
  <c r="AV49" i="7"/>
  <c r="AU49" i="7"/>
  <c r="AV48" i="7"/>
  <c r="AU48" i="7"/>
  <c r="AV45" i="7"/>
  <c r="AV44" i="7"/>
  <c r="AV43" i="7"/>
  <c r="AU43" i="7"/>
  <c r="AF72" i="7"/>
  <c r="C40" i="7"/>
  <c r="C15" i="23"/>
  <c r="AZ15" i="7"/>
  <c r="AY15" i="7"/>
  <c r="AX15" i="7"/>
  <c r="AW15" i="7"/>
  <c r="AQ9" i="7"/>
  <c r="L16" i="6"/>
  <c r="F17" i="6"/>
  <c r="E16" i="6"/>
  <c r="C16" i="6"/>
  <c r="E17" i="6"/>
  <c r="E18" i="6"/>
  <c r="C17" i="6"/>
  <c r="C18" i="6"/>
  <c r="A1" i="4"/>
  <c r="A1" i="6"/>
  <c r="A16" i="6"/>
  <c r="A1" i="7"/>
  <c r="A47" i="7"/>
  <c r="AD1" i="7"/>
  <c r="G10" i="7"/>
  <c r="F10" i="7"/>
  <c r="E10" i="7"/>
  <c r="BK15" i="7"/>
  <c r="BJ15" i="7"/>
  <c r="BI15" i="7"/>
  <c r="BH15" i="7"/>
  <c r="AV12" i="7"/>
  <c r="AU12" i="7"/>
  <c r="AT12" i="7"/>
  <c r="AS12" i="7"/>
  <c r="AR12" i="7"/>
  <c r="AQ12" i="7"/>
  <c r="AV9" i="7"/>
  <c r="AU9" i="7"/>
  <c r="AT9" i="7"/>
  <c r="AS9" i="7"/>
  <c r="AR9" i="7"/>
  <c r="AV8" i="7"/>
  <c r="AU8" i="7"/>
  <c r="AT8" i="7"/>
  <c r="AS8" i="7"/>
  <c r="AV5" i="7"/>
  <c r="AU5" i="7"/>
  <c r="AT5" i="7"/>
  <c r="AS5" i="7"/>
  <c r="BD15" i="7"/>
  <c r="BF15" i="7"/>
  <c r="BC15" i="7"/>
  <c r="BG15" i="7"/>
  <c r="BE15" i="7"/>
  <c r="BB15" i="7"/>
  <c r="AH53" i="7"/>
  <c r="AO25" i="23"/>
  <c r="AI28" i="23"/>
  <c r="AI32" i="23"/>
  <c r="AI36" i="23"/>
  <c r="AN35" i="23"/>
  <c r="AJ30" i="23"/>
  <c r="AL30" i="23"/>
  <c r="AI25" i="23"/>
  <c r="AN33" i="23"/>
  <c r="AN37" i="23"/>
  <c r="AJ51" i="23"/>
  <c r="AI35" i="23"/>
  <c r="AI40" i="23"/>
  <c r="AN34" i="23"/>
  <c r="AO34" i="23"/>
  <c r="AK38" i="23"/>
  <c r="AK42" i="23"/>
  <c r="AI24" i="23"/>
  <c r="AN26" i="23"/>
  <c r="AK31" i="23"/>
  <c r="AM38" i="23"/>
  <c r="AM42" i="23"/>
  <c r="AI50" i="23"/>
  <c r="AN39" i="23"/>
  <c r="AK41" i="23"/>
  <c r="AJ29" i="7"/>
  <c r="AK23" i="23"/>
  <c r="AK27" i="23"/>
  <c r="AN24" i="23"/>
  <c r="AK26" i="23"/>
  <c r="AN30" i="23"/>
  <c r="AO30" i="23"/>
  <c r="AK36" i="23"/>
  <c r="AM39" i="23"/>
  <c r="AM41" i="23"/>
  <c r="AM23" i="23"/>
  <c r="AJ29" i="23"/>
  <c r="AI31" i="23"/>
  <c r="AM33" i="23"/>
  <c r="AM35" i="23"/>
  <c r="AO35" i="23"/>
  <c r="AJ39" i="23"/>
  <c r="AL39" i="23"/>
  <c r="AL31" i="7"/>
  <c r="AM28" i="23"/>
  <c r="AM29" i="23"/>
  <c r="AH34" i="23"/>
  <c r="C17" i="23"/>
  <c r="AI29" i="7"/>
  <c r="AI32" i="7"/>
  <c r="AI34" i="7"/>
  <c r="AO31" i="7"/>
  <c r="AH29" i="7"/>
  <c r="AG37" i="7"/>
  <c r="AH32" i="7"/>
  <c r="AG38" i="7"/>
  <c r="AH26" i="7"/>
  <c r="AG39" i="7"/>
  <c r="E23" i="7"/>
  <c r="AK29" i="7"/>
  <c r="AK32" i="7"/>
  <c r="AO28" i="7"/>
  <c r="AL28" i="7"/>
  <c r="AN26" i="7"/>
  <c r="AJ39" i="7"/>
  <c r="AN32" i="7"/>
  <c r="AJ38" i="7"/>
  <c r="E24" i="7"/>
  <c r="AO24" i="7"/>
  <c r="AO26" i="7"/>
  <c r="AK39" i="7"/>
  <c r="AH55" i="7"/>
  <c r="AL27" i="7"/>
  <c r="AN29" i="7"/>
  <c r="AJ37" i="7"/>
  <c r="AF18" i="7"/>
  <c r="C23" i="7"/>
  <c r="B56" i="7"/>
  <c r="AM32" i="7"/>
  <c r="AI38" i="7"/>
  <c r="AO30" i="7"/>
  <c r="AO32" i="7"/>
  <c r="AK38" i="7"/>
  <c r="AF20" i="7"/>
  <c r="C13" i="7"/>
  <c r="AL25" i="7"/>
  <c r="AL24" i="7"/>
  <c r="AJ26" i="7"/>
  <c r="AL30" i="7"/>
  <c r="AL32" i="7"/>
  <c r="AJ32" i="7"/>
  <c r="AK26" i="7"/>
  <c r="AO27" i="7"/>
  <c r="AM29" i="7"/>
  <c r="AF19" i="7"/>
  <c r="C22" i="7"/>
  <c r="AF75" i="7"/>
  <c r="C41" i="7"/>
  <c r="C16" i="23"/>
  <c r="AH5" i="7"/>
  <c r="AN53" i="7"/>
  <c r="AK46" i="7"/>
  <c r="AM55" i="7"/>
  <c r="AI12" i="7"/>
  <c r="AQ15" i="7"/>
  <c r="AM5" i="7"/>
  <c r="AM12" i="7"/>
  <c r="AM8" i="7"/>
  <c r="AH6" i="7"/>
  <c r="AM9" i="7"/>
  <c r="AK45" i="7"/>
  <c r="AK43" i="7"/>
  <c r="AN54" i="7"/>
  <c r="AM6" i="7"/>
  <c r="AI48" i="7"/>
  <c r="AM53" i="7"/>
  <c r="AJ54" i="7"/>
  <c r="AK55" i="7"/>
  <c r="AN56" i="7"/>
  <c r="AK8" i="7"/>
  <c r="AH8" i="7"/>
  <c r="AI8" i="7"/>
  <c r="AI55" i="7"/>
  <c r="AJ53" i="7"/>
  <c r="AJ5" i="7"/>
  <c r="AN8" i="7"/>
  <c r="AN9" i="7"/>
  <c r="AN12" i="7"/>
  <c r="AI46" i="7"/>
  <c r="AH56" i="7"/>
  <c r="AJ55" i="7"/>
  <c r="AJ11" i="7"/>
  <c r="AK48" i="7"/>
  <c r="AI51" i="7"/>
  <c r="AM54" i="7"/>
  <c r="AI43" i="7"/>
  <c r="AK53" i="7"/>
  <c r="AT15" i="7"/>
  <c r="AN55" i="7"/>
  <c r="AM11" i="7"/>
  <c r="AI9" i="7"/>
  <c r="AI5" i="7"/>
  <c r="AJ6" i="7"/>
  <c r="AJ9" i="7"/>
  <c r="AK12" i="7"/>
  <c r="AU15" i="7"/>
  <c r="AK5" i="7"/>
  <c r="AH9" i="7"/>
  <c r="AJ8" i="7"/>
  <c r="AI53" i="7"/>
  <c r="AI45" i="7"/>
  <c r="AH12" i="7"/>
  <c r="AN5" i="7"/>
  <c r="AH11" i="7"/>
  <c r="AK54" i="7"/>
  <c r="AI50" i="7"/>
  <c r="AJ12" i="7"/>
  <c r="AK6" i="7"/>
  <c r="AK51" i="7"/>
  <c r="AH54" i="7"/>
  <c r="AK9" i="7"/>
  <c r="AN11" i="7"/>
  <c r="AI54" i="7"/>
  <c r="AN6" i="7"/>
  <c r="AK44" i="7"/>
  <c r="AK11" i="7"/>
  <c r="AI56" i="7"/>
  <c r="AK50" i="7"/>
  <c r="AI44" i="7"/>
  <c r="AV15" i="7"/>
  <c r="AR15" i="7"/>
  <c r="AI49" i="7"/>
  <c r="AJ56" i="7"/>
  <c r="AS15" i="7"/>
  <c r="AK49" i="7"/>
  <c r="AK56" i="7"/>
  <c r="AM56" i="7"/>
  <c r="AO41" i="23"/>
  <c r="AO39" i="23"/>
  <c r="AM27" i="23"/>
  <c r="AO33" i="23"/>
  <c r="AO37" i="23"/>
  <c r="AK51" i="23"/>
  <c r="AM37" i="23"/>
  <c r="AI51" i="23"/>
  <c r="AL41" i="23"/>
  <c r="AM32" i="23"/>
  <c r="AI47" i="23"/>
  <c r="AI39" i="23"/>
  <c r="AJ31" i="23"/>
  <c r="AL31" i="23"/>
  <c r="AK25" i="23"/>
  <c r="AK28" i="23"/>
  <c r="AK32" i="23"/>
  <c r="AN23" i="23"/>
  <c r="AN27" i="23"/>
  <c r="AJ25" i="23"/>
  <c r="AK35" i="23"/>
  <c r="AJ24" i="23"/>
  <c r="AM40" i="23"/>
  <c r="AO40" i="23"/>
  <c r="AH40" i="23"/>
  <c r="AH42" i="23"/>
  <c r="AG50" i="23"/>
  <c r="AN28" i="23"/>
  <c r="AN32" i="23"/>
  <c r="AJ47" i="23"/>
  <c r="AI33" i="23"/>
  <c r="AI37" i="23"/>
  <c r="AI44" i="23"/>
  <c r="AM24" i="23"/>
  <c r="AO24" i="23"/>
  <c r="AJ26" i="23"/>
  <c r="AL26" i="23"/>
  <c r="AK29" i="23"/>
  <c r="AL29" i="23"/>
  <c r="AN31" i="23"/>
  <c r="AO31" i="23"/>
  <c r="AH30" i="23"/>
  <c r="AN36" i="23"/>
  <c r="AO36" i="23"/>
  <c r="AJ23" i="23"/>
  <c r="AH25" i="23"/>
  <c r="AN29" i="23"/>
  <c r="AO29" i="23"/>
  <c r="AH36" i="23"/>
  <c r="AH23" i="23"/>
  <c r="AK24" i="23"/>
  <c r="AM26" i="23"/>
  <c r="AO26" i="23"/>
  <c r="AJ38" i="23"/>
  <c r="AJ36" i="23"/>
  <c r="AJ33" i="23"/>
  <c r="AK34" i="23"/>
  <c r="AL34" i="23"/>
  <c r="AH24" i="23"/>
  <c r="AH26" i="23"/>
  <c r="AI41" i="23"/>
  <c r="AI34" i="23"/>
  <c r="AJ28" i="23"/>
  <c r="AJ35" i="23"/>
  <c r="AL35" i="23"/>
  <c r="AK33" i="23"/>
  <c r="AK37" i="23"/>
  <c r="AH29" i="23"/>
  <c r="AH32" i="23"/>
  <c r="AG47" i="23"/>
  <c r="AH33" i="23"/>
  <c r="AH37" i="23"/>
  <c r="AG51" i="23"/>
  <c r="AK40" i="23"/>
  <c r="AL40" i="23"/>
  <c r="AO38" i="23"/>
  <c r="AO42" i="23"/>
  <c r="AK50" i="23"/>
  <c r="AO29" i="7"/>
  <c r="AK44" i="23"/>
  <c r="AI57" i="7"/>
  <c r="AL36" i="23"/>
  <c r="B64" i="7"/>
  <c r="AQ12" i="24"/>
  <c r="AS10" i="24"/>
  <c r="AQ10" i="24"/>
  <c r="AR9" i="24"/>
  <c r="E64" i="7"/>
  <c r="E56" i="7"/>
  <c r="AK34" i="7"/>
  <c r="AL29" i="7"/>
  <c r="AL54" i="7"/>
  <c r="AL53" i="7"/>
  <c r="AN34" i="7"/>
  <c r="AL26" i="7"/>
  <c r="AM34" i="7"/>
  <c r="AI37" i="7"/>
  <c r="AO34" i="7"/>
  <c r="AK37" i="7"/>
  <c r="AH34" i="7"/>
  <c r="E22" i="7"/>
  <c r="AJ34" i="7"/>
  <c r="AO55" i="7"/>
  <c r="AO53" i="7"/>
  <c r="AL6" i="7"/>
  <c r="AL8" i="7"/>
  <c r="AO12" i="7"/>
  <c r="AL50" i="7"/>
  <c r="AL46" i="7"/>
  <c r="AO54" i="7"/>
  <c r="AL43" i="7"/>
  <c r="AO9" i="7"/>
  <c r="AG76" i="7"/>
  <c r="AG74" i="7"/>
  <c r="E43" i="7"/>
  <c r="AH57" i="7"/>
  <c r="AG73" i="7"/>
  <c r="E41" i="7"/>
  <c r="AO6" i="7"/>
  <c r="G40" i="7"/>
  <c r="E42" i="7"/>
  <c r="AH13" i="7"/>
  <c r="AG20" i="7"/>
  <c r="AH7" i="7"/>
  <c r="AG19" i="7"/>
  <c r="E13" i="7"/>
  <c r="AL5" i="7"/>
  <c r="AJ7" i="7"/>
  <c r="AM7" i="7"/>
  <c r="E40" i="7"/>
  <c r="AN57" i="7"/>
  <c r="AJ73" i="7"/>
  <c r="I41" i="7"/>
  <c r="AO11" i="7"/>
  <c r="AK47" i="7"/>
  <c r="AO8" i="7"/>
  <c r="E44" i="7"/>
  <c r="AI74" i="7"/>
  <c r="AI76" i="7"/>
  <c r="G44" i="7"/>
  <c r="AL45" i="7"/>
  <c r="F40" i="7"/>
  <c r="AL9" i="7"/>
  <c r="AO56" i="7"/>
  <c r="AH10" i="7"/>
  <c r="AG18" i="7"/>
  <c r="E12" i="7"/>
  <c r="AL55" i="7"/>
  <c r="AM57" i="7"/>
  <c r="AI73" i="7"/>
  <c r="G42" i="7"/>
  <c r="AN10" i="7"/>
  <c r="AL12" i="7"/>
  <c r="AM10" i="7"/>
  <c r="AL56" i="7"/>
  <c r="AI47" i="7"/>
  <c r="AK13" i="7"/>
  <c r="AI52" i="7"/>
  <c r="AJ76" i="7"/>
  <c r="AJ74" i="7"/>
  <c r="I42" i="7"/>
  <c r="G43" i="7"/>
  <c r="AK52" i="7"/>
  <c r="AL11" i="7"/>
  <c r="AI10" i="7"/>
  <c r="AK10" i="7"/>
  <c r="AN7" i="7"/>
  <c r="AJ57" i="7"/>
  <c r="AH73" i="7"/>
  <c r="AH76" i="7"/>
  <c r="AH74" i="7"/>
  <c r="F42" i="7"/>
  <c r="G41" i="7"/>
  <c r="AK57" i="7"/>
  <c r="F44" i="7"/>
  <c r="AL49" i="7"/>
  <c r="F41" i="7"/>
  <c r="AL48" i="7"/>
  <c r="I43" i="7"/>
  <c r="AL44" i="7"/>
  <c r="AJ10" i="7"/>
  <c r="F43" i="7"/>
  <c r="AK7" i="7"/>
  <c r="AN13" i="7"/>
  <c r="AO5" i="7"/>
  <c r="AL51" i="7"/>
  <c r="I44" i="7"/>
  <c r="AJ13" i="7"/>
  <c r="AM13" i="7"/>
  <c r="AL38" i="23"/>
  <c r="AL42" i="23"/>
  <c r="AJ42" i="23"/>
  <c r="AH50" i="23"/>
  <c r="AJ32" i="23"/>
  <c r="AH47" i="23"/>
  <c r="AL28" i="23"/>
  <c r="AL32" i="23"/>
  <c r="AL24" i="23"/>
  <c r="AJ27" i="23"/>
  <c r="AL23" i="23"/>
  <c r="AL27" i="23"/>
  <c r="AH27" i="23"/>
  <c r="AL25" i="23"/>
  <c r="AL33" i="23"/>
  <c r="AL37" i="23"/>
  <c r="AJ37" i="23"/>
  <c r="AH51" i="23"/>
  <c r="AN44" i="23"/>
  <c r="AJ48" i="23"/>
  <c r="AO28" i="23"/>
  <c r="AO32" i="23"/>
  <c r="AK47" i="23"/>
  <c r="AO23" i="23"/>
  <c r="AO27" i="23"/>
  <c r="AI48" i="23"/>
  <c r="AM44" i="23"/>
  <c r="AL34" i="7"/>
  <c r="B70" i="7"/>
  <c r="AB64" i="7"/>
  <c r="AR12" i="24"/>
  <c r="AR10" i="24"/>
  <c r="AC56" i="7"/>
  <c r="AL7" i="7"/>
  <c r="AJ19" i="7"/>
  <c r="AJ18" i="7"/>
  <c r="I11" i="7"/>
  <c r="I22" i="7"/>
  <c r="AI20" i="7"/>
  <c r="AI19" i="7"/>
  <c r="G13" i="7"/>
  <c r="G24" i="7"/>
  <c r="F13" i="7"/>
  <c r="F24" i="7"/>
  <c r="AJ20" i="7"/>
  <c r="I13" i="7"/>
  <c r="I24" i="7"/>
  <c r="AI18" i="7"/>
  <c r="G12" i="7"/>
  <c r="G23" i="7"/>
  <c r="G11" i="7"/>
  <c r="G22" i="7"/>
  <c r="I12" i="7"/>
  <c r="I23" i="7"/>
  <c r="F12" i="7"/>
  <c r="F23" i="7"/>
  <c r="F11" i="7"/>
  <c r="F22" i="7"/>
  <c r="AO13" i="7"/>
  <c r="AL13" i="7"/>
  <c r="AK76" i="7"/>
  <c r="AO57" i="7"/>
  <c r="AK73" i="7"/>
  <c r="AO10" i="7"/>
  <c r="AO7" i="7"/>
  <c r="AL57" i="7"/>
  <c r="AK74" i="7"/>
  <c r="AK15" i="7"/>
  <c r="AL10" i="7"/>
  <c r="AL47" i="7"/>
  <c r="AH15" i="7"/>
  <c r="AJ15" i="7"/>
  <c r="AI15" i="7"/>
  <c r="E11" i="7"/>
  <c r="AM15" i="7"/>
  <c r="AN15" i="7"/>
  <c r="BO46" i="7"/>
  <c r="I40" i="7"/>
  <c r="BP46" i="7"/>
  <c r="BN46" i="7"/>
  <c r="BM46" i="7"/>
  <c r="AL52" i="7"/>
  <c r="AL44" i="23"/>
  <c r="AH44" i="23"/>
  <c r="AG48" i="23"/>
  <c r="AK48" i="23"/>
  <c r="AO44" i="23"/>
  <c r="AH48" i="23"/>
  <c r="AJ44" i="23"/>
  <c r="AS14" i="24"/>
  <c r="AC64" i="7"/>
  <c r="E72" i="7"/>
  <c r="AR14" i="24"/>
  <c r="E74" i="7"/>
  <c r="AR15" i="24"/>
  <c r="B74" i="7"/>
  <c r="E70" i="7"/>
  <c r="AR13" i="24"/>
  <c r="AS12" i="24"/>
  <c r="AB70" i="7"/>
  <c r="C13" i="23"/>
  <c r="AQ13" i="24"/>
  <c r="AC62" i="7"/>
  <c r="B72" i="7"/>
  <c r="BM27" i="7"/>
  <c r="BM8" i="7"/>
  <c r="BN8" i="7"/>
  <c r="BR8" i="7"/>
  <c r="AA12" i="7"/>
  <c r="BN27" i="7"/>
  <c r="AK20" i="7"/>
  <c r="AK18" i="7"/>
  <c r="AO15" i="7"/>
  <c r="AL15" i="7"/>
  <c r="AK19" i="7"/>
  <c r="BR46" i="7"/>
  <c r="AA43" i="7"/>
  <c r="AQ15" i="24"/>
  <c r="AB74" i="7"/>
  <c r="AQ14" i="24"/>
  <c r="BR27" i="7"/>
  <c r="AA23" i="7"/>
  <c r="AC70" i="7"/>
  <c r="C14" i="23"/>
  <c r="C9" i="23"/>
  <c r="AC74" i="7"/>
  <c r="C10" i="23"/>
  <c r="C11" i="23"/>
  <c r="AC72" i="7"/>
  <c r="C12" i="23"/>
</calcChain>
</file>

<file path=xl/sharedStrings.xml><?xml version="1.0" encoding="utf-8"?>
<sst xmlns="http://schemas.openxmlformats.org/spreadsheetml/2006/main" count="650" uniqueCount="172">
  <si>
    <t>A1</t>
  </si>
  <si>
    <t>A2</t>
  </si>
  <si>
    <t>A3</t>
  </si>
  <si>
    <t>B1</t>
  </si>
  <si>
    <t>B2</t>
  </si>
  <si>
    <t>B3</t>
  </si>
  <si>
    <t>B4</t>
  </si>
  <si>
    <t>Kategorie</t>
  </si>
  <si>
    <t>Wettbewerb</t>
  </si>
  <si>
    <t>Saison</t>
  </si>
  <si>
    <t>-</t>
  </si>
  <si>
    <t>Mannschaften</t>
  </si>
  <si>
    <t>:</t>
  </si>
  <si>
    <t>(</t>
  </si>
  <si>
    <t>)</t>
  </si>
  <si>
    <t>Bälle</t>
  </si>
  <si>
    <t>,</t>
  </si>
  <si>
    <t>Kontrollsummen</t>
  </si>
  <si>
    <t>1.</t>
  </si>
  <si>
    <t>2.</t>
  </si>
  <si>
    <t>3.</t>
  </si>
  <si>
    <t>4.</t>
  </si>
  <si>
    <t>Sp.</t>
  </si>
  <si>
    <t>Pkte.</t>
  </si>
  <si>
    <t>+/-</t>
  </si>
  <si>
    <t>Gruppe A</t>
  </si>
  <si>
    <t>Gruppe B</t>
  </si>
  <si>
    <t>Feld 1</t>
  </si>
  <si>
    <t>Feld 2</t>
  </si>
  <si>
    <t>Sp</t>
  </si>
  <si>
    <t>Pkte</t>
  </si>
  <si>
    <t>S+</t>
  </si>
  <si>
    <t>S-</t>
  </si>
  <si>
    <t>S+/-</t>
  </si>
  <si>
    <t>B+</t>
  </si>
  <si>
    <t>B-</t>
  </si>
  <si>
    <t>B+/-</t>
  </si>
  <si>
    <t>Wettbewerb 1</t>
  </si>
  <si>
    <t>Datum Ort</t>
  </si>
  <si>
    <t>Spiel</t>
  </si>
  <si>
    <t>Zeit</t>
  </si>
  <si>
    <t>SR</t>
  </si>
  <si>
    <t>Anspielzeit</t>
  </si>
  <si>
    <t>Rhythmus</t>
  </si>
  <si>
    <t>Resultate Gruppe A</t>
  </si>
  <si>
    <t>Resultate Gruppe B</t>
  </si>
  <si>
    <t>Rangliste Gruppe A</t>
  </si>
  <si>
    <t>Rangliste Gruppe B</t>
  </si>
  <si>
    <t>5.</t>
  </si>
  <si>
    <t>(3. Gruppe B)</t>
  </si>
  <si>
    <t>(3. Gruppe A)</t>
  </si>
  <si>
    <t>1.A</t>
  </si>
  <si>
    <t>Feld 3</t>
  </si>
  <si>
    <t>B5</t>
  </si>
  <si>
    <t>Halle 2019/2020</t>
  </si>
  <si>
    <t>FAUSTBALL-SPIELBERICHT</t>
  </si>
  <si>
    <t>Gr.</t>
  </si>
  <si>
    <t>Feld Nr.</t>
  </si>
  <si>
    <t>Spiel  Nr.</t>
  </si>
  <si>
    <t>A</t>
  </si>
  <si>
    <t xml:space="preserve">  Datum/Zeit:</t>
  </si>
  <si>
    <t xml:space="preserve">  Sportplatz/Halle:</t>
  </si>
  <si>
    <t>Mannschaft A:</t>
  </si>
  <si>
    <t>Mannschaft B:</t>
  </si>
  <si>
    <t xml:space="preserve">  Schiedsrichter:</t>
  </si>
  <si>
    <t xml:space="preserve">  Anschreiber:</t>
  </si>
  <si>
    <t xml:space="preserve">  Linienrichter:</t>
  </si>
  <si>
    <t>1.Satz/Halbzeit</t>
  </si>
  <si>
    <t>5.Satz</t>
  </si>
  <si>
    <t>1. Satz</t>
  </si>
  <si>
    <t>2. Satz</t>
  </si>
  <si>
    <t>3. Satz</t>
  </si>
  <si>
    <t>4. Satz</t>
  </si>
  <si>
    <t>5. Satz</t>
  </si>
  <si>
    <t xml:space="preserve">  Ballwahl/Anspiel:</t>
  </si>
  <si>
    <t>Timeout:</t>
  </si>
  <si>
    <t>B</t>
  </si>
  <si>
    <t>Ergebnis   (A : B)</t>
  </si>
  <si>
    <t>Spiel nach Zeit</t>
  </si>
  <si>
    <t xml:space="preserve">              Spiel nach Sätzen</t>
  </si>
  <si>
    <t>Endstand
(Sätze)</t>
  </si>
  <si>
    <t>Halbzeit</t>
  </si>
  <si>
    <t>Total Bälle</t>
  </si>
  <si>
    <t xml:space="preserve">  Sieger:</t>
  </si>
  <si>
    <t xml:space="preserve">  Für die Richtigkeit der Eintragungen</t>
  </si>
  <si>
    <t xml:space="preserve">  Spielführer A:</t>
  </si>
  <si>
    <t xml:space="preserve">  Spielführer B:</t>
  </si>
  <si>
    <t>Ostschweizer Meisterschaft</t>
  </si>
  <si>
    <t>Gruppe</t>
  </si>
  <si>
    <t>Feld</t>
  </si>
  <si>
    <t>Schiri</t>
  </si>
  <si>
    <t>Team A</t>
  </si>
  <si>
    <t>Team B</t>
  </si>
  <si>
    <t>Spiel Nr.</t>
  </si>
  <si>
    <t>Direkte Begegnung Gruppe A</t>
  </si>
  <si>
    <t>Direkte Begegnung Gruppe B</t>
  </si>
  <si>
    <t>So. 15.12.2019</t>
  </si>
  <si>
    <t>Aadorf, Löhracker</t>
  </si>
  <si>
    <t>Vorrunde</t>
  </si>
  <si>
    <t>Finalrunde</t>
  </si>
  <si>
    <t>1.B</t>
  </si>
  <si>
    <t>U14</t>
  </si>
  <si>
    <t>Gruppe C</t>
  </si>
  <si>
    <t>C1</t>
  </si>
  <si>
    <t>C2</t>
  </si>
  <si>
    <t>C3</t>
  </si>
  <si>
    <t>C4</t>
  </si>
  <si>
    <t>C5</t>
  </si>
  <si>
    <t>Gruppe A (Ränge 1-6)</t>
  </si>
  <si>
    <t>Gruppe B (Ränge 1-6)</t>
  </si>
  <si>
    <t>Gruppe C (Ränge 7-11)</t>
  </si>
  <si>
    <t>V7</t>
  </si>
  <si>
    <t>V8</t>
  </si>
  <si>
    <t>S9</t>
  </si>
  <si>
    <t>S10</t>
  </si>
  <si>
    <t>S12</t>
  </si>
  <si>
    <r>
      <t xml:space="preserve">2.A-3.B </t>
    </r>
    <r>
      <rPr>
        <sz val="8"/>
        <color theme="1"/>
        <rFont val="Arial"/>
        <family val="2"/>
      </rPr>
      <t>Viertelfinale</t>
    </r>
  </si>
  <si>
    <r>
      <t xml:space="preserve">2.B.-3.A </t>
    </r>
    <r>
      <rPr>
        <sz val="8"/>
        <color theme="1"/>
        <rFont val="Arial"/>
        <family val="2"/>
      </rPr>
      <t>Viertelfinale</t>
    </r>
  </si>
  <si>
    <r>
      <t xml:space="preserve">1.A-S8 </t>
    </r>
    <r>
      <rPr>
        <sz val="8"/>
        <color theme="1"/>
        <rFont val="Arial"/>
        <family val="2"/>
      </rPr>
      <t>Halbfinale</t>
    </r>
  </si>
  <si>
    <r>
      <t xml:space="preserve">1.B-S7 </t>
    </r>
    <r>
      <rPr>
        <sz val="8"/>
        <color theme="1"/>
        <rFont val="Arial"/>
        <family val="2"/>
      </rPr>
      <t>Halbfinale</t>
    </r>
  </si>
  <si>
    <r>
      <t xml:space="preserve">V7-V8              </t>
    </r>
    <r>
      <rPr>
        <sz val="8"/>
        <color theme="1"/>
        <rFont val="Arial"/>
        <family val="2"/>
      </rPr>
      <t>Rang 5/6</t>
    </r>
  </si>
  <si>
    <r>
      <t xml:space="preserve">V9-V10         </t>
    </r>
    <r>
      <rPr>
        <sz val="8"/>
        <color theme="1"/>
        <rFont val="Arial"/>
        <family val="2"/>
      </rPr>
      <t>Rang 3/4</t>
    </r>
  </si>
  <si>
    <t>Vorrunde (2 Gewinnsätze à 11 Punkte; max. 15:14)</t>
  </si>
  <si>
    <r>
      <t xml:space="preserve">S9-S10          </t>
    </r>
    <r>
      <rPr>
        <b/>
        <sz val="8"/>
        <color theme="1"/>
        <rFont val="Arial"/>
        <family val="2"/>
      </rPr>
      <t>Final</t>
    </r>
  </si>
  <si>
    <t>12:00</t>
  </si>
  <si>
    <t>2 Sätze à 11 Punkte; max. 15:14; 1 Punkt pro Satz</t>
  </si>
  <si>
    <t>STV Affeltrangen</t>
  </si>
  <si>
    <t>FG RiWi 2</t>
  </si>
  <si>
    <t>SVD Diepoldsau</t>
  </si>
  <si>
    <t>TS Höchst</t>
  </si>
  <si>
    <t xml:space="preserve">FBV Ettenhausen </t>
  </si>
  <si>
    <t>FBT Flums</t>
  </si>
  <si>
    <t>FG RiWi 1</t>
  </si>
  <si>
    <t>TS Schwarzach</t>
  </si>
  <si>
    <t>STV Wigoltingen</t>
  </si>
  <si>
    <t>Satus Kreuzlingen</t>
  </si>
  <si>
    <t>JFB Widnau</t>
  </si>
  <si>
    <t>Die Pause zwischen den Spielen beträgt maximal 10 Minuten.</t>
  </si>
  <si>
    <t>anschl.</t>
  </si>
  <si>
    <t>Schlussrangliste</t>
  </si>
  <si>
    <t>Direkte Begegnung Gruppe C</t>
  </si>
  <si>
    <t>Viertelfinals</t>
  </si>
  <si>
    <t>HF1</t>
  </si>
  <si>
    <t>(1. Gruppe A)</t>
  </si>
  <si>
    <t>HF2</t>
  </si>
  <si>
    <t>(1. Gruppe B)</t>
  </si>
  <si>
    <t>VF1</t>
  </si>
  <si>
    <t>VF2</t>
  </si>
  <si>
    <t>(2. Gruppe A)</t>
  </si>
  <si>
    <t>(2. Gruppe B)</t>
  </si>
  <si>
    <t>S</t>
  </si>
  <si>
    <t>V</t>
  </si>
  <si>
    <t>Halbfinals</t>
  </si>
  <si>
    <t>(Sieger VF2)</t>
  </si>
  <si>
    <t>(Sieger VF1)</t>
  </si>
  <si>
    <t>Platzierungsspiele</t>
  </si>
  <si>
    <t>5/6</t>
  </si>
  <si>
    <t>3/4</t>
  </si>
  <si>
    <t>1/2</t>
  </si>
  <si>
    <t>(Verlierer VF2)</t>
  </si>
  <si>
    <t>(Verlierer VF1)</t>
  </si>
  <si>
    <t>(Verlierer HF1)</t>
  </si>
  <si>
    <t>(Verlierer HF2)</t>
  </si>
  <si>
    <t>(Sieger HF1)</t>
  </si>
  <si>
    <t>(Sieger HF2)</t>
  </si>
  <si>
    <t>6.</t>
  </si>
  <si>
    <t>7.</t>
  </si>
  <si>
    <t>8.</t>
  </si>
  <si>
    <t>9.</t>
  </si>
  <si>
    <t>10.</t>
  </si>
  <si>
    <t>11.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</si>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</sst>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1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 textRotation="90"/>
    </xf>
    <xf numFmtId="0" fontId="4" fillId="0" borderId="4" xfId="0" applyFont="1" applyBorder="1" applyAlignment="1" applyProtection="1">
      <alignment horizontal="center" vertical="center" textRotation="90"/>
    </xf>
    <xf numFmtId="0" fontId="4" fillId="0" borderId="19" xfId="0" applyFont="1" applyBorder="1" applyAlignment="1" applyProtection="1">
      <alignment horizontal="center" vertical="center" textRotation="90"/>
    </xf>
    <xf numFmtId="0" fontId="4" fillId="0" borderId="24" xfId="0" applyFont="1" applyBorder="1" applyAlignment="1" applyProtection="1">
      <alignment horizontal="center" vertical="center" textRotation="90"/>
    </xf>
    <xf numFmtId="0" fontId="4" fillId="0" borderId="36" xfId="0" applyFont="1" applyBorder="1" applyAlignment="1" applyProtection="1">
      <alignment horizontal="center" vertical="center" textRotation="9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quotePrefix="1" applyAlignment="1" applyProtection="1">
      <alignment vertical="center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20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14" fontId="0" fillId="0" borderId="0" xfId="0" applyNumberFormat="1" applyAlignment="1" applyProtection="1">
      <alignment horizontal="left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8" xfId="0" quotePrefix="1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/>
    <xf numFmtId="20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0" fontId="0" fillId="4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Protection="1"/>
    <xf numFmtId="0" fontId="7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right" vertical="top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4" fillId="0" borderId="0" xfId="1" applyFont="1" applyFill="1" applyBorder="1" applyAlignment="1"/>
    <xf numFmtId="0" fontId="15" fillId="0" borderId="0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/>
    </xf>
    <xf numFmtId="0" fontId="16" fillId="0" borderId="0" xfId="1" applyFont="1" applyFill="1" applyBorder="1" applyAlignment="1"/>
    <xf numFmtId="0" fontId="16" fillId="0" borderId="0" xfId="1" applyFont="1" applyAlignment="1"/>
    <xf numFmtId="0" fontId="18" fillId="1" borderId="58" xfId="1" applyFont="1" applyFill="1" applyBorder="1" applyAlignment="1">
      <alignment horizontal="centerContinuous" vertical="top" wrapText="1"/>
    </xf>
    <xf numFmtId="0" fontId="18" fillId="1" borderId="59" xfId="1" applyFont="1" applyFill="1" applyBorder="1" applyAlignment="1">
      <alignment horizontal="centerContinuous" vertical="top"/>
    </xf>
    <xf numFmtId="0" fontId="18" fillId="1" borderId="60" xfId="1" applyFont="1" applyFill="1" applyBorder="1" applyAlignment="1">
      <alignment horizontal="centerContinuous" vertical="top" wrapText="1"/>
    </xf>
    <xf numFmtId="0" fontId="12" fillId="0" borderId="0" xfId="1" applyFill="1" applyBorder="1"/>
    <xf numFmtId="0" fontId="13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3" fillId="0" borderId="0" xfId="1" applyFont="1" applyFill="1" applyBorder="1"/>
    <xf numFmtId="0" fontId="21" fillId="0" borderId="0" xfId="1" applyFont="1" applyFill="1" applyBorder="1" applyAlignment="1">
      <alignment vertical="center"/>
    </xf>
    <xf numFmtId="0" fontId="12" fillId="0" borderId="0" xfId="1" applyFill="1" applyBorder="1" applyAlignment="1">
      <alignment vertical="center"/>
    </xf>
    <xf numFmtId="0" fontId="12" fillId="0" borderId="64" xfId="1" applyFill="1" applyBorder="1"/>
    <xf numFmtId="0" fontId="3" fillId="0" borderId="58" xfId="1" applyFont="1" applyFill="1" applyBorder="1" applyAlignment="1">
      <alignment vertical="center"/>
    </xf>
    <xf numFmtId="0" fontId="3" fillId="0" borderId="65" xfId="1" applyFont="1" applyFill="1" applyBorder="1" applyAlignment="1">
      <alignment vertical="center"/>
    </xf>
    <xf numFmtId="0" fontId="12" fillId="0" borderId="65" xfId="1" applyBorder="1" applyAlignment="1">
      <alignment vertical="center"/>
    </xf>
    <xf numFmtId="0" fontId="12" fillId="0" borderId="65" xfId="1" applyFill="1" applyBorder="1" applyAlignment="1">
      <alignment vertical="center"/>
    </xf>
    <xf numFmtId="0" fontId="12" fillId="0" borderId="0" xfId="1" applyAlignment="1">
      <alignment vertical="center"/>
    </xf>
    <xf numFmtId="0" fontId="3" fillId="0" borderId="0" xfId="1" applyFont="1" applyFill="1" applyBorder="1" applyAlignment="1">
      <alignment vertical="center"/>
    </xf>
    <xf numFmtId="0" fontId="12" fillId="0" borderId="0" xfId="1" applyBorder="1" applyAlignment="1">
      <alignment vertical="center"/>
    </xf>
    <xf numFmtId="0" fontId="23" fillId="0" borderId="0" xfId="1" applyFont="1" applyAlignment="1">
      <alignment vertical="top"/>
    </xf>
    <xf numFmtId="0" fontId="23" fillId="0" borderId="70" xfId="1" applyFont="1" applyFill="1" applyBorder="1" applyAlignment="1">
      <alignment vertical="top"/>
    </xf>
    <xf numFmtId="0" fontId="23" fillId="0" borderId="71" xfId="1" applyFont="1" applyBorder="1" applyAlignment="1">
      <alignment vertical="top"/>
    </xf>
    <xf numFmtId="0" fontId="24" fillId="0" borderId="0" xfId="1" applyFont="1" applyFill="1" applyBorder="1"/>
    <xf numFmtId="0" fontId="12" fillId="0" borderId="0" xfId="1"/>
    <xf numFmtId="0" fontId="12" fillId="0" borderId="0" xfId="1" applyBorder="1"/>
    <xf numFmtId="0" fontId="12" fillId="0" borderId="72" xfId="1" applyFont="1" applyBorder="1" applyAlignment="1">
      <alignment horizontal="left" vertical="center"/>
    </xf>
    <xf numFmtId="0" fontId="12" fillId="0" borderId="73" xfId="1" applyFont="1" applyBorder="1" applyAlignment="1">
      <alignment horizontal="left" vertical="center"/>
    </xf>
    <xf numFmtId="0" fontId="3" fillId="0" borderId="73" xfId="1" applyFont="1" applyBorder="1" applyAlignment="1">
      <alignment horizontal="left" vertical="center"/>
    </xf>
    <xf numFmtId="0" fontId="12" fillId="0" borderId="73" xfId="1" applyBorder="1" applyAlignment="1">
      <alignment horizontal="centerContinuous" vertical="center"/>
    </xf>
    <xf numFmtId="0" fontId="24" fillId="0" borderId="73" xfId="1" applyFont="1" applyBorder="1" applyAlignment="1">
      <alignment horizontal="left" vertical="center"/>
    </xf>
    <xf numFmtId="0" fontId="12" fillId="0" borderId="73" xfId="1" applyBorder="1" applyAlignment="1">
      <alignment vertical="center"/>
    </xf>
    <xf numFmtId="0" fontId="12" fillId="0" borderId="74" xfId="1" applyBorder="1" applyAlignment="1">
      <alignment vertical="center"/>
    </xf>
    <xf numFmtId="0" fontId="12" fillId="0" borderId="61" xfId="1" applyFont="1" applyBorder="1" applyAlignment="1">
      <alignment horizontal="left" vertical="center"/>
    </xf>
    <xf numFmtId="0" fontId="12" fillId="0" borderId="62" xfId="1" applyFont="1" applyBorder="1" applyAlignment="1">
      <alignment horizontal="left" vertical="center"/>
    </xf>
    <xf numFmtId="0" fontId="12" fillId="0" borderId="62" xfId="1" applyBorder="1" applyAlignment="1">
      <alignment horizontal="centerContinuous" vertical="center"/>
    </xf>
    <xf numFmtId="0" fontId="24" fillId="0" borderId="62" xfId="1" applyFont="1" applyBorder="1" applyAlignment="1">
      <alignment horizontal="left" vertical="center"/>
    </xf>
    <xf numFmtId="0" fontId="12" fillId="0" borderId="62" xfId="1" applyBorder="1" applyAlignment="1">
      <alignment vertical="center"/>
    </xf>
    <xf numFmtId="0" fontId="12" fillId="0" borderId="63" xfId="1" applyBorder="1" applyAlignment="1">
      <alignment vertical="center"/>
    </xf>
    <xf numFmtId="0" fontId="12" fillId="0" borderId="0" xfId="1" applyFont="1" applyBorder="1" applyAlignment="1"/>
    <xf numFmtId="0" fontId="12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centerContinuous"/>
    </xf>
    <xf numFmtId="0" fontId="12" fillId="0" borderId="0" xfId="1" applyBorder="1" applyAlignment="1">
      <alignment horizontal="centerContinuous"/>
    </xf>
    <xf numFmtId="0" fontId="12" fillId="0" borderId="0" xfId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8" fillId="0" borderId="55" xfId="1" applyFont="1" applyBorder="1" applyAlignment="1"/>
    <xf numFmtId="0" fontId="18" fillId="0" borderId="56" xfId="1" applyFont="1" applyBorder="1" applyAlignment="1"/>
    <xf numFmtId="0" fontId="25" fillId="0" borderId="56" xfId="1" applyFont="1" applyBorder="1" applyAlignment="1">
      <alignment vertical="center"/>
    </xf>
    <xf numFmtId="0" fontId="25" fillId="0" borderId="75" xfId="1" applyFont="1" applyBorder="1" applyAlignment="1"/>
    <xf numFmtId="0" fontId="25" fillId="0" borderId="73" xfId="1" applyFont="1" applyBorder="1" applyAlignment="1">
      <alignment horizontal="centerContinuous"/>
    </xf>
    <xf numFmtId="0" fontId="25" fillId="0" borderId="75" xfId="1" applyFont="1" applyBorder="1" applyAlignment="1">
      <alignment horizontal="centerContinuous"/>
    </xf>
    <xf numFmtId="0" fontId="25" fillId="0" borderId="73" xfId="1" applyFont="1" applyBorder="1" applyAlignment="1"/>
    <xf numFmtId="0" fontId="18" fillId="0" borderId="55" xfId="1" applyFont="1" applyBorder="1" applyAlignment="1">
      <alignment vertical="center"/>
    </xf>
    <xf numFmtId="0" fontId="25" fillId="0" borderId="56" xfId="1" applyFont="1" applyBorder="1" applyAlignment="1"/>
    <xf numFmtId="0" fontId="25" fillId="0" borderId="56" xfId="1" applyFont="1" applyBorder="1" applyAlignment="1">
      <alignment horizontal="centerContinuous"/>
    </xf>
    <xf numFmtId="0" fontId="25" fillId="0" borderId="0" xfId="1" applyFont="1" applyAlignment="1"/>
    <xf numFmtId="0" fontId="25" fillId="0" borderId="79" xfId="1" applyFont="1" applyBorder="1" applyAlignment="1">
      <alignment horizontal="center" vertical="center"/>
    </xf>
    <xf numFmtId="0" fontId="25" fillId="0" borderId="80" xfId="1" applyFont="1" applyBorder="1" applyAlignment="1"/>
    <xf numFmtId="0" fontId="25" fillId="0" borderId="81" xfId="1" applyFont="1" applyBorder="1" applyAlignment="1"/>
    <xf numFmtId="0" fontId="25" fillId="0" borderId="83" xfId="1" applyFont="1" applyBorder="1" applyAlignment="1"/>
    <xf numFmtId="0" fontId="25" fillId="0" borderId="0" xfId="1" applyFont="1" applyBorder="1" applyAlignment="1"/>
    <xf numFmtId="0" fontId="25" fillId="5" borderId="83" xfId="1" applyFont="1" applyFill="1" applyBorder="1" applyAlignment="1"/>
    <xf numFmtId="0" fontId="25" fillId="5" borderId="0" xfId="1" applyFont="1" applyFill="1" applyBorder="1" applyAlignment="1"/>
    <xf numFmtId="0" fontId="25" fillId="5" borderId="84" xfId="1" applyFont="1" applyFill="1" applyBorder="1" applyAlignment="1"/>
    <xf numFmtId="0" fontId="25" fillId="0" borderId="86" xfId="1" applyFont="1" applyBorder="1" applyAlignment="1">
      <alignment horizontal="center" vertical="center"/>
    </xf>
    <xf numFmtId="0" fontId="25" fillId="0" borderId="62" xfId="1" applyFont="1" applyBorder="1" applyAlignment="1"/>
    <xf numFmtId="0" fontId="25" fillId="0" borderId="85" xfId="1" applyFont="1" applyBorder="1" applyAlignment="1"/>
    <xf numFmtId="0" fontId="25" fillId="0" borderId="87" xfId="1" applyFont="1" applyBorder="1" applyAlignment="1"/>
    <xf numFmtId="0" fontId="25" fillId="0" borderId="89" xfId="1" applyFont="1" applyBorder="1" applyAlignment="1"/>
    <xf numFmtId="0" fontId="25" fillId="5" borderId="87" xfId="1" applyFont="1" applyFill="1" applyBorder="1" applyAlignment="1"/>
    <xf numFmtId="0" fontId="25" fillId="5" borderId="89" xfId="1" applyFont="1" applyFill="1" applyBorder="1" applyAlignment="1"/>
    <xf numFmtId="0" fontId="25" fillId="5" borderId="90" xfId="1" applyFont="1" applyFill="1" applyBorder="1" applyAlignment="1"/>
    <xf numFmtId="0" fontId="12" fillId="0" borderId="62" xfId="1" applyBorder="1" applyAlignment="1">
      <alignment textRotation="90"/>
    </xf>
    <xf numFmtId="0" fontId="12" fillId="0" borderId="62" xfId="1" applyBorder="1"/>
    <xf numFmtId="0" fontId="3" fillId="0" borderId="62" xfId="1" applyFont="1" applyBorder="1" applyAlignment="1">
      <alignment vertical="center"/>
    </xf>
    <xf numFmtId="0" fontId="25" fillId="0" borderId="62" xfId="1" applyFont="1" applyBorder="1" applyAlignment="1">
      <alignment textRotation="90"/>
    </xf>
    <xf numFmtId="0" fontId="3" fillId="0" borderId="50" xfId="1" applyFont="1" applyBorder="1" applyAlignment="1">
      <alignment horizontal="center" vertical="center"/>
    </xf>
    <xf numFmtId="0" fontId="12" fillId="0" borderId="91" xfId="1" applyBorder="1"/>
    <xf numFmtId="0" fontId="12" fillId="0" borderId="92" xfId="1" applyBorder="1" applyAlignment="1">
      <alignment horizontal="centerContinuous"/>
    </xf>
    <xf numFmtId="0" fontId="12" fillId="0" borderId="93" xfId="1" applyBorder="1"/>
    <xf numFmtId="0" fontId="12" fillId="0" borderId="94" xfId="1" applyBorder="1"/>
    <xf numFmtId="0" fontId="12" fillId="0" borderId="95" xfId="1" applyBorder="1"/>
    <xf numFmtId="0" fontId="3" fillId="0" borderId="96" xfId="1" applyFont="1" applyBorder="1" applyAlignment="1">
      <alignment horizontal="center" vertical="center"/>
    </xf>
    <xf numFmtId="0" fontId="12" fillId="0" borderId="97" xfId="1" applyBorder="1"/>
    <xf numFmtId="0" fontId="12" fillId="0" borderId="98" xfId="1" applyFont="1" applyBorder="1" applyAlignment="1"/>
    <xf numFmtId="0" fontId="12" fillId="0" borderId="98" xfId="1" applyBorder="1"/>
    <xf numFmtId="0" fontId="12" fillId="0" borderId="99" xfId="1" applyBorder="1"/>
    <xf numFmtId="0" fontId="12" fillId="0" borderId="100" xfId="1" applyBorder="1"/>
    <xf numFmtId="0" fontId="12" fillId="0" borderId="101" xfId="1" applyBorder="1"/>
    <xf numFmtId="0" fontId="3" fillId="0" borderId="102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12" fillId="0" borderId="103" xfId="1" applyBorder="1"/>
    <xf numFmtId="0" fontId="12" fillId="0" borderId="104" xfId="1" applyBorder="1"/>
    <xf numFmtId="0" fontId="12" fillId="0" borderId="105" xfId="1" applyBorder="1"/>
    <xf numFmtId="0" fontId="3" fillId="0" borderId="106" xfId="1" applyFont="1" applyBorder="1" applyAlignment="1">
      <alignment horizontal="center" vertical="center"/>
    </xf>
    <xf numFmtId="0" fontId="12" fillId="0" borderId="107" xfId="1" applyFont="1" applyBorder="1" applyAlignment="1"/>
    <xf numFmtId="0" fontId="12" fillId="0" borderId="107" xfId="1" applyBorder="1"/>
    <xf numFmtId="0" fontId="12" fillId="0" borderId="108" xfId="1" applyBorder="1"/>
    <xf numFmtId="0" fontId="12" fillId="0" borderId="109" xfId="1" applyBorder="1"/>
    <xf numFmtId="0" fontId="12" fillId="0" borderId="92" xfId="1" applyBorder="1"/>
    <xf numFmtId="0" fontId="12" fillId="0" borderId="110" xfId="1" applyBorder="1"/>
    <xf numFmtId="0" fontId="12" fillId="0" borderId="111" xfId="1" applyBorder="1"/>
    <xf numFmtId="0" fontId="3" fillId="5" borderId="50" xfId="1" applyFont="1" applyFill="1" applyBorder="1" applyAlignment="1">
      <alignment horizontal="center" vertical="center"/>
    </xf>
    <xf numFmtId="0" fontId="12" fillId="5" borderId="91" xfId="1" applyFill="1" applyBorder="1"/>
    <xf numFmtId="0" fontId="12" fillId="5" borderId="92" xfId="1" applyFill="1" applyBorder="1"/>
    <xf numFmtId="0" fontId="12" fillId="5" borderId="93" xfId="1" applyFill="1" applyBorder="1"/>
    <xf numFmtId="0" fontId="12" fillId="5" borderId="94" xfId="1" applyFill="1" applyBorder="1"/>
    <xf numFmtId="0" fontId="12" fillId="5" borderId="95" xfId="1" applyFill="1" applyBorder="1"/>
    <xf numFmtId="0" fontId="3" fillId="5" borderId="96" xfId="1" applyFont="1" applyFill="1" applyBorder="1" applyAlignment="1">
      <alignment horizontal="center" vertical="center"/>
    </xf>
    <xf numFmtId="0" fontId="12" fillId="5" borderId="97" xfId="1" applyFill="1" applyBorder="1"/>
    <xf numFmtId="0" fontId="12" fillId="5" borderId="98" xfId="1" applyFont="1" applyFill="1" applyBorder="1" applyAlignment="1"/>
    <xf numFmtId="0" fontId="12" fillId="5" borderId="98" xfId="1" applyFill="1" applyBorder="1"/>
    <xf numFmtId="0" fontId="12" fillId="5" borderId="110" xfId="1" applyFill="1" applyBorder="1"/>
    <xf numFmtId="0" fontId="12" fillId="5" borderId="111" xfId="1" applyFill="1" applyBorder="1"/>
    <xf numFmtId="0" fontId="3" fillId="5" borderId="51" xfId="1" applyFont="1" applyFill="1" applyBorder="1" applyAlignment="1">
      <alignment horizontal="center" vertical="center"/>
    </xf>
    <xf numFmtId="0" fontId="12" fillId="5" borderId="103" xfId="1" applyFill="1" applyBorder="1"/>
    <xf numFmtId="0" fontId="12" fillId="5" borderId="104" xfId="1" applyFill="1" applyBorder="1"/>
    <xf numFmtId="0" fontId="12" fillId="5" borderId="105" xfId="1" applyFill="1" applyBorder="1"/>
    <xf numFmtId="0" fontId="12" fillId="5" borderId="112" xfId="1" applyFill="1" applyBorder="1"/>
    <xf numFmtId="0" fontId="12" fillId="5" borderId="113" xfId="1" applyFill="1" applyBorder="1"/>
    <xf numFmtId="0" fontId="3" fillId="0" borderId="0" xfId="1" applyFont="1" applyFill="1" applyBorder="1" applyAlignment="1">
      <alignment horizontal="centerContinuous"/>
    </xf>
    <xf numFmtId="0" fontId="23" fillId="0" borderId="58" xfId="1" applyFont="1" applyFill="1" applyBorder="1" applyAlignment="1">
      <alignment horizontal="centerContinuous" vertical="center"/>
    </xf>
    <xf numFmtId="0" fontId="23" fillId="0" borderId="65" xfId="1" applyFont="1" applyFill="1" applyBorder="1" applyAlignment="1">
      <alignment horizontal="centerContinuous" vertical="center"/>
    </xf>
    <xf numFmtId="0" fontId="3" fillId="0" borderId="65" xfId="1" applyFont="1" applyFill="1" applyBorder="1" applyAlignment="1">
      <alignment horizontal="centerContinuous"/>
    </xf>
    <xf numFmtId="0" fontId="12" fillId="0" borderId="65" xfId="1" applyBorder="1" applyAlignment="1">
      <alignment horizontal="centerContinuous"/>
    </xf>
    <xf numFmtId="0" fontId="3" fillId="0" borderId="59" xfId="1" applyFont="1" applyFill="1" applyBorder="1" applyAlignment="1">
      <alignment horizontal="centerContinuous"/>
    </xf>
    <xf numFmtId="0" fontId="23" fillId="0" borderId="58" xfId="1" applyFont="1" applyFill="1" applyBorder="1" applyAlignment="1">
      <alignment horizontal="left" vertical="center"/>
    </xf>
    <xf numFmtId="0" fontId="23" fillId="0" borderId="65" xfId="1" applyFont="1" applyFill="1" applyBorder="1" applyAlignment="1">
      <alignment horizontal="left" vertical="center"/>
    </xf>
    <xf numFmtId="0" fontId="23" fillId="0" borderId="63" xfId="1" applyFont="1" applyFill="1" applyBorder="1" applyAlignment="1">
      <alignment vertical="center"/>
    </xf>
    <xf numFmtId="0" fontId="23" fillId="0" borderId="62" xfId="1" applyFont="1" applyFill="1" applyBorder="1" applyAlignment="1">
      <alignment vertical="center"/>
    </xf>
    <xf numFmtId="0" fontId="3" fillId="0" borderId="58" xfId="1" applyFont="1" applyFill="1" applyBorder="1" applyAlignment="1">
      <alignment horizontal="centerContinuous" vertical="center"/>
    </xf>
    <xf numFmtId="0" fontId="3" fillId="0" borderId="65" xfId="1" applyFont="1" applyFill="1" applyBorder="1" applyAlignment="1">
      <alignment horizontal="centerContinuous" vertical="center"/>
    </xf>
    <xf numFmtId="0" fontId="12" fillId="0" borderId="65" xfId="1" applyFill="1" applyBorder="1" applyAlignment="1">
      <alignment horizontal="centerContinuous" vertical="center"/>
    </xf>
    <xf numFmtId="0" fontId="12" fillId="0" borderId="59" xfId="1" applyFill="1" applyBorder="1" applyAlignment="1">
      <alignment horizontal="centerContinuous" vertical="center"/>
    </xf>
    <xf numFmtId="0" fontId="12" fillId="0" borderId="115" xfId="1" applyFont="1" applyBorder="1" applyAlignment="1">
      <alignment vertical="center"/>
    </xf>
    <xf numFmtId="0" fontId="12" fillId="0" borderId="125" xfId="1" applyFont="1" applyBorder="1" applyAlignment="1">
      <alignment vertical="center"/>
    </xf>
    <xf numFmtId="0" fontId="12" fillId="0" borderId="126" xfId="1" applyFont="1" applyBorder="1" applyAlignment="1">
      <alignment vertical="center"/>
    </xf>
    <xf numFmtId="0" fontId="12" fillId="0" borderId="125" xfId="1" applyFont="1" applyBorder="1"/>
    <xf numFmtId="0" fontId="12" fillId="0" borderId="127" xfId="1" applyFont="1" applyBorder="1"/>
    <xf numFmtId="0" fontId="12" fillId="0" borderId="61" xfId="1" applyBorder="1" applyAlignment="1">
      <alignment vertical="center"/>
    </xf>
    <xf numFmtId="0" fontId="12" fillId="0" borderId="89" xfId="1" applyBorder="1" applyAlignment="1">
      <alignment vertical="center"/>
    </xf>
    <xf numFmtId="0" fontId="12" fillId="0" borderId="89" xfId="1" applyFont="1" applyBorder="1" applyAlignment="1">
      <alignment vertical="center"/>
    </xf>
    <xf numFmtId="0" fontId="12" fillId="0" borderId="87" xfId="1" applyFont="1" applyBorder="1" applyAlignment="1">
      <alignment vertical="center"/>
    </xf>
    <xf numFmtId="0" fontId="12" fillId="0" borderId="89" xfId="1" applyBorder="1"/>
    <xf numFmtId="0" fontId="12" fillId="0" borderId="89" xfId="1" applyFont="1" applyBorder="1"/>
    <xf numFmtId="0" fontId="12" fillId="0" borderId="90" xfId="1" applyFont="1" applyBorder="1"/>
    <xf numFmtId="0" fontId="3" fillId="0" borderId="0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2" fillId="0" borderId="0" xfId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Alignment="1">
      <alignment horizontal="center"/>
    </xf>
    <xf numFmtId="0" fontId="12" fillId="0" borderId="0" xfId="1" applyFill="1" applyBorder="1" applyAlignment="1">
      <alignment horizontal="center" vertical="center"/>
    </xf>
    <xf numFmtId="0" fontId="21" fillId="4" borderId="0" xfId="1" applyFont="1" applyFill="1" applyBorder="1" applyAlignment="1">
      <alignment vertical="center"/>
    </xf>
    <xf numFmtId="0" fontId="21" fillId="4" borderId="0" xfId="1" applyFont="1" applyFill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0" borderId="0" xfId="1" applyAlignment="1">
      <alignment horizontal="left"/>
    </xf>
    <xf numFmtId="0" fontId="3" fillId="0" borderId="0" xfId="1" applyFont="1" applyFill="1" applyBorder="1" applyAlignment="1">
      <alignment horizontal="left"/>
    </xf>
    <xf numFmtId="0" fontId="12" fillId="0" borderId="0" xfId="1" applyFill="1" applyBorder="1" applyAlignment="1">
      <alignment horizontal="left"/>
    </xf>
    <xf numFmtId="0" fontId="12" fillId="0" borderId="0" xfId="1" applyFill="1" applyBorder="1" applyAlignment="1">
      <alignment horizontal="left" vertical="center"/>
    </xf>
    <xf numFmtId="0" fontId="21" fillId="0" borderId="0" xfId="1" applyFont="1" applyAlignment="1">
      <alignment vertical="top"/>
    </xf>
    <xf numFmtId="20" fontId="0" fillId="4" borderId="0" xfId="0" quotePrefix="1" applyNumberFormat="1" applyFill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quotePrefix="1" applyFont="1" applyAlignment="1">
      <alignment vertical="center"/>
    </xf>
    <xf numFmtId="20" fontId="0" fillId="0" borderId="0" xfId="0" quotePrefix="1" applyNumberFormat="1" applyFont="1" applyAlignment="1">
      <alignment horizontal="left" vertical="center"/>
    </xf>
    <xf numFmtId="0" fontId="0" fillId="0" borderId="64" xfId="0" applyFont="1" applyBorder="1"/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50" xfId="0" applyFont="1" applyBorder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3" fillId="0" borderId="52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0" fillId="0" borderId="0" xfId="0" applyAlignment="1" applyProtection="1"/>
    <xf numFmtId="0" fontId="3" fillId="0" borderId="1" xfId="0" applyFont="1" applyBorder="1" applyAlignment="1" applyProtection="1">
      <alignment horizontal="center"/>
    </xf>
    <xf numFmtId="0" fontId="3" fillId="0" borderId="53" xfId="0" applyFont="1" applyBorder="1" applyAlignment="1" applyProtection="1"/>
    <xf numFmtId="0" fontId="3" fillId="0" borderId="45" xfId="0" applyFont="1" applyBorder="1" applyAlignment="1" applyProtection="1"/>
    <xf numFmtId="0" fontId="4" fillId="0" borderId="25" xfId="0" applyFont="1" applyBorder="1" applyAlignment="1" applyProtection="1">
      <alignment horizontal="center" textRotation="90"/>
    </xf>
    <xf numFmtId="0" fontId="3" fillId="0" borderId="26" xfId="0" applyFont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3" fillId="0" borderId="51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0" fontId="3" fillId="0" borderId="53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2" fillId="0" borderId="0" xfId="0" applyFont="1" applyProtection="1"/>
    <xf numFmtId="0" fontId="0" fillId="0" borderId="0" xfId="0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top"/>
    </xf>
    <xf numFmtId="0" fontId="8" fillId="0" borderId="0" xfId="0" quotePrefix="1" applyFont="1" applyAlignment="1" applyProtection="1">
      <alignment vertical="top"/>
    </xf>
    <xf numFmtId="0" fontId="6" fillId="0" borderId="0" xfId="0" quotePrefix="1" applyFont="1" applyAlignment="1" applyProtection="1">
      <alignment vertical="center"/>
    </xf>
    <xf numFmtId="0" fontId="27" fillId="0" borderId="0" xfId="0" quotePrefix="1" applyFont="1" applyAlignment="1" applyProtection="1">
      <alignment vertical="center"/>
    </xf>
    <xf numFmtId="0" fontId="6" fillId="0" borderId="0" xfId="0" quotePrefix="1" applyFont="1" applyAlignment="1" applyProtection="1">
      <alignment horizontal="right" vertical="center" indent="1"/>
    </xf>
    <xf numFmtId="0" fontId="27" fillId="0" borderId="0" xfId="0" quotePrefix="1" applyFont="1" applyAlignment="1" applyProtection="1">
      <alignment horizontal="right" vertical="center" inden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1" quotePrefix="1" applyFont="1" applyFill="1" applyBorder="1" applyAlignment="1">
      <alignment horizontal="center" vertical="center"/>
    </xf>
    <xf numFmtId="20" fontId="8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/>
    </xf>
    <xf numFmtId="0" fontId="3" fillId="0" borderId="43" xfId="0" applyFont="1" applyBorder="1" applyAlignment="1" applyProtection="1">
      <alignment horizontal="left" vertical="center"/>
    </xf>
    <xf numFmtId="0" fontId="3" fillId="0" borderId="44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left" vertical="center"/>
    </xf>
    <xf numFmtId="0" fontId="3" fillId="0" borderId="46" xfId="0" applyFont="1" applyBorder="1" applyAlignment="1" applyProtection="1">
      <alignment horizontal="left" vertical="center"/>
    </xf>
    <xf numFmtId="0" fontId="3" fillId="0" borderId="120" xfId="1" applyFont="1" applyBorder="1" applyAlignment="1">
      <alignment horizontal="center" vertical="center"/>
    </xf>
    <xf numFmtId="0" fontId="3" fillId="0" borderId="89" xfId="1" applyFont="1" applyBorder="1" applyAlignment="1">
      <alignment horizontal="center" vertical="center"/>
    </xf>
    <xf numFmtId="0" fontId="3" fillId="0" borderId="121" xfId="1" applyFont="1" applyBorder="1" applyAlignment="1">
      <alignment horizontal="center" vertical="center"/>
    </xf>
    <xf numFmtId="0" fontId="12" fillId="0" borderId="122" xfId="1" applyFont="1" applyBorder="1" applyAlignment="1">
      <alignment horizontal="center" vertical="center"/>
    </xf>
    <xf numFmtId="0" fontId="12" fillId="0" borderId="123" xfId="1" applyFont="1" applyBorder="1" applyAlignment="1">
      <alignment horizontal="center" vertical="center"/>
    </xf>
    <xf numFmtId="0" fontId="12" fillId="0" borderId="124" xfId="1" applyFont="1" applyBorder="1" applyAlignment="1">
      <alignment horizontal="center" vertical="center"/>
    </xf>
    <xf numFmtId="0" fontId="3" fillId="5" borderId="120" xfId="1" applyFont="1" applyFill="1" applyBorder="1" applyAlignment="1">
      <alignment horizontal="center" vertical="center"/>
    </xf>
    <xf numFmtId="0" fontId="3" fillId="5" borderId="89" xfId="1" applyFont="1" applyFill="1" applyBorder="1" applyAlignment="1">
      <alignment horizontal="center" vertical="center"/>
    </xf>
    <xf numFmtId="0" fontId="3" fillId="5" borderId="90" xfId="1" applyFont="1" applyFill="1" applyBorder="1" applyAlignment="1">
      <alignment horizontal="center" vertical="center"/>
    </xf>
    <xf numFmtId="0" fontId="3" fillId="0" borderId="88" xfId="1" applyFont="1" applyBorder="1" applyAlignment="1">
      <alignment horizontal="center" vertical="center"/>
    </xf>
    <xf numFmtId="0" fontId="3" fillId="0" borderId="87" xfId="1" applyFont="1" applyBorder="1" applyAlignment="1">
      <alignment horizontal="center" vertical="center"/>
    </xf>
    <xf numFmtId="0" fontId="3" fillId="5" borderId="87" xfId="1" applyFont="1" applyFill="1" applyBorder="1" applyAlignment="1">
      <alignment horizontal="center" vertical="center"/>
    </xf>
    <xf numFmtId="0" fontId="3" fillId="5" borderId="88" xfId="1" applyFont="1" applyFill="1" applyBorder="1" applyAlignment="1">
      <alignment horizontal="center" vertical="center"/>
    </xf>
    <xf numFmtId="0" fontId="18" fillId="0" borderId="72" xfId="1" applyFont="1" applyFill="1" applyBorder="1" applyAlignment="1">
      <alignment horizontal="center" vertical="center"/>
    </xf>
    <xf numFmtId="0" fontId="18" fillId="0" borderId="73" xfId="1" applyFont="1" applyFill="1" applyBorder="1" applyAlignment="1">
      <alignment horizontal="center" vertical="center"/>
    </xf>
    <xf numFmtId="0" fontId="18" fillId="0" borderId="114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horizontal="center" vertical="center"/>
    </xf>
    <xf numFmtId="0" fontId="3" fillId="0" borderId="118" xfId="1" applyFont="1" applyFill="1" applyBorder="1" applyAlignment="1">
      <alignment horizontal="center" vertical="center"/>
    </xf>
    <xf numFmtId="0" fontId="3" fillId="0" borderId="62" xfId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horizontal="center" vertical="center"/>
    </xf>
    <xf numFmtId="0" fontId="12" fillId="5" borderId="115" xfId="1" applyFont="1" applyFill="1" applyBorder="1" applyAlignment="1">
      <alignment horizontal="center"/>
    </xf>
    <xf numFmtId="0" fontId="12" fillId="5" borderId="80" xfId="1" applyFont="1" applyFill="1" applyBorder="1" applyAlignment="1">
      <alignment horizontal="center"/>
    </xf>
    <xf numFmtId="0" fontId="12" fillId="5" borderId="116" xfId="1" applyFont="1" applyFill="1" applyBorder="1" applyAlignment="1">
      <alignment horizontal="center"/>
    </xf>
    <xf numFmtId="0" fontId="12" fillId="0" borderId="115" xfId="1" applyFont="1" applyBorder="1" applyAlignment="1">
      <alignment horizontal="center" vertical="center"/>
    </xf>
    <xf numFmtId="0" fontId="12" fillId="0" borderId="80" xfId="1" applyFont="1" applyBorder="1" applyAlignment="1">
      <alignment horizontal="center" vertical="center"/>
    </xf>
    <xf numFmtId="0" fontId="12" fillId="0" borderId="81" xfId="1" applyFont="1" applyBorder="1" applyAlignment="1">
      <alignment horizontal="center" vertical="center"/>
    </xf>
    <xf numFmtId="0" fontId="12" fillId="0" borderId="82" xfId="1" applyFont="1" applyBorder="1" applyAlignment="1">
      <alignment horizontal="center" vertical="center"/>
    </xf>
    <xf numFmtId="0" fontId="12" fillId="5" borderId="82" xfId="1" applyFont="1" applyFill="1" applyBorder="1" applyAlignment="1">
      <alignment horizontal="center"/>
    </xf>
    <xf numFmtId="0" fontId="12" fillId="5" borderId="81" xfId="1" applyFont="1" applyFill="1" applyBorder="1" applyAlignment="1">
      <alignment horizontal="center"/>
    </xf>
    <xf numFmtId="0" fontId="12" fillId="0" borderId="117" xfId="1" applyFont="1" applyBorder="1" applyAlignment="1">
      <alignment horizontal="center" vertical="center"/>
    </xf>
    <xf numFmtId="0" fontId="18" fillId="5" borderId="72" xfId="1" applyFont="1" applyFill="1" applyBorder="1" applyAlignment="1">
      <alignment horizontal="center" vertical="center"/>
    </xf>
    <xf numFmtId="0" fontId="18" fillId="5" borderId="73" xfId="1" applyFont="1" applyFill="1" applyBorder="1" applyAlignment="1">
      <alignment horizontal="center" vertical="center"/>
    </xf>
    <xf numFmtId="0" fontId="18" fillId="5" borderId="74" xfId="1" applyFont="1" applyFill="1" applyBorder="1" applyAlignment="1">
      <alignment horizontal="center" vertical="center"/>
    </xf>
    <xf numFmtId="0" fontId="12" fillId="0" borderId="55" xfId="1" applyBorder="1" applyAlignment="1">
      <alignment horizontal="center" vertical="center"/>
    </xf>
    <xf numFmtId="0" fontId="12" fillId="0" borderId="57" xfId="1" applyBorder="1" applyAlignment="1">
      <alignment horizontal="center" vertical="center"/>
    </xf>
    <xf numFmtId="0" fontId="12" fillId="0" borderId="61" xfId="1" applyBorder="1" applyAlignment="1">
      <alignment horizontal="center" vertical="center"/>
    </xf>
    <xf numFmtId="0" fontId="12" fillId="0" borderId="63" xfId="1" applyBorder="1" applyAlignment="1">
      <alignment horizontal="center" vertical="center"/>
    </xf>
    <xf numFmtId="0" fontId="12" fillId="0" borderId="77" xfId="1" applyBorder="1" applyAlignment="1">
      <alignment horizontal="center" vertical="center"/>
    </xf>
    <xf numFmtId="0" fontId="12" fillId="0" borderId="84" xfId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12" fillId="0" borderId="63" xfId="1" applyFont="1" applyBorder="1" applyAlignment="1">
      <alignment horizontal="center" vertical="center"/>
    </xf>
    <xf numFmtId="0" fontId="12" fillId="5" borderId="55" xfId="1" applyFont="1" applyFill="1" applyBorder="1" applyAlignment="1">
      <alignment horizontal="center" vertical="center"/>
    </xf>
    <xf numFmtId="0" fontId="12" fillId="5" borderId="57" xfId="1" applyFont="1" applyFill="1" applyBorder="1" applyAlignment="1">
      <alignment horizontal="center" vertical="center"/>
    </xf>
    <xf numFmtId="0" fontId="12" fillId="5" borderId="61" xfId="1" applyFont="1" applyFill="1" applyBorder="1" applyAlignment="1">
      <alignment horizontal="center" vertical="center"/>
    </xf>
    <xf numFmtId="0" fontId="12" fillId="5" borderId="63" xfId="1" applyFont="1" applyFill="1" applyBorder="1" applyAlignment="1">
      <alignment horizontal="center" vertical="center"/>
    </xf>
    <xf numFmtId="0" fontId="12" fillId="5" borderId="77" xfId="1" applyFont="1" applyFill="1" applyBorder="1" applyAlignment="1">
      <alignment horizontal="center" vertical="center"/>
    </xf>
    <xf numFmtId="0" fontId="12" fillId="5" borderId="84" xfId="1" applyFont="1" applyFill="1" applyBorder="1" applyAlignment="1">
      <alignment horizontal="center" vertical="center"/>
    </xf>
    <xf numFmtId="0" fontId="18" fillId="0" borderId="77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78" xfId="1" applyFont="1" applyBorder="1" applyAlignment="1">
      <alignment horizontal="center" vertical="center"/>
    </xf>
    <xf numFmtId="0" fontId="18" fillId="0" borderId="61" xfId="1" applyFont="1" applyBorder="1" applyAlignment="1">
      <alignment horizontal="center" vertical="center"/>
    </xf>
    <xf numFmtId="0" fontId="18" fillId="0" borderId="62" xfId="1" applyFont="1" applyBorder="1" applyAlignment="1">
      <alignment horizontal="center" vertical="center"/>
    </xf>
    <xf numFmtId="0" fontId="18" fillId="0" borderId="85" xfId="1" applyFont="1" applyBorder="1" applyAlignment="1">
      <alignment horizontal="center" vertical="center"/>
    </xf>
    <xf numFmtId="0" fontId="25" fillId="0" borderId="82" xfId="1" applyFont="1" applyBorder="1" applyAlignment="1">
      <alignment horizontal="center"/>
    </xf>
    <xf numFmtId="0" fontId="12" fillId="0" borderId="81" xfId="1" applyBorder="1" applyAlignment="1">
      <alignment horizontal="center"/>
    </xf>
    <xf numFmtId="0" fontId="25" fillId="0" borderId="87" xfId="1" applyFont="1" applyBorder="1" applyAlignment="1">
      <alignment horizontal="center"/>
    </xf>
    <xf numFmtId="0" fontId="12" fillId="0" borderId="88" xfId="1" applyBorder="1" applyAlignment="1">
      <alignment horizontal="center"/>
    </xf>
    <xf numFmtId="0" fontId="23" fillId="0" borderId="66" xfId="1" applyFont="1" applyFill="1" applyBorder="1" applyAlignment="1">
      <alignment horizontal="left" vertical="top" indent="1"/>
    </xf>
    <xf numFmtId="0" fontId="23" fillId="0" borderId="67" xfId="1" applyFont="1" applyFill="1" applyBorder="1" applyAlignment="1">
      <alignment horizontal="left" vertical="top" indent="1"/>
    </xf>
    <xf numFmtId="0" fontId="23" fillId="0" borderId="68" xfId="1" applyFont="1" applyFill="1" applyBorder="1" applyAlignment="1">
      <alignment horizontal="left" vertical="top" indent="1"/>
    </xf>
    <xf numFmtId="0" fontId="19" fillId="0" borderId="69" xfId="1" applyFont="1" applyFill="1" applyBorder="1" applyAlignment="1">
      <alignment horizontal="left" vertical="center" indent="1"/>
    </xf>
    <xf numFmtId="0" fontId="19" fillId="0" borderId="70" xfId="1" applyFont="1" applyFill="1" applyBorder="1" applyAlignment="1">
      <alignment horizontal="left" vertical="center" indent="1"/>
    </xf>
    <xf numFmtId="0" fontId="19" fillId="0" borderId="71" xfId="1" applyFont="1" applyFill="1" applyBorder="1" applyAlignment="1">
      <alignment horizontal="left" vertical="center" indent="1"/>
    </xf>
    <xf numFmtId="0" fontId="3" fillId="0" borderId="55" xfId="1" applyFont="1" applyBorder="1" applyAlignment="1">
      <alignment horizontal="left" vertical="center"/>
    </xf>
    <xf numFmtId="0" fontId="3" fillId="0" borderId="56" xfId="1" applyFont="1" applyBorder="1" applyAlignment="1">
      <alignment horizontal="left" vertical="center"/>
    </xf>
    <xf numFmtId="0" fontId="3" fillId="0" borderId="57" xfId="1" applyFont="1" applyBorder="1" applyAlignment="1">
      <alignment horizontal="left" vertical="center"/>
    </xf>
    <xf numFmtId="0" fontId="21" fillId="0" borderId="61" xfId="1" applyFont="1" applyBorder="1" applyAlignment="1">
      <alignment horizontal="left" vertical="center" indent="1"/>
    </xf>
    <xf numFmtId="0" fontId="21" fillId="0" borderId="62" xfId="1" applyFont="1" applyBorder="1" applyAlignment="1">
      <alignment horizontal="left" vertical="center" indent="1"/>
    </xf>
    <xf numFmtId="0" fontId="21" fillId="0" borderId="63" xfId="1" applyFont="1" applyBorder="1" applyAlignment="1">
      <alignment horizontal="left" vertical="center" indent="1"/>
    </xf>
    <xf numFmtId="0" fontId="25" fillId="0" borderId="76" xfId="1" applyFont="1" applyBorder="1" applyAlignment="1">
      <alignment horizontal="center"/>
    </xf>
    <xf numFmtId="0" fontId="25" fillId="0" borderId="75" xfId="1" applyFont="1" applyBorder="1" applyAlignment="1">
      <alignment horizontal="center"/>
    </xf>
    <xf numFmtId="0" fontId="25" fillId="5" borderId="76" xfId="1" applyFont="1" applyFill="1" applyBorder="1" applyAlignment="1">
      <alignment horizontal="center"/>
    </xf>
    <xf numFmtId="0" fontId="25" fillId="5" borderId="75" xfId="1" applyFont="1" applyFill="1" applyBorder="1" applyAlignment="1">
      <alignment horizontal="center"/>
    </xf>
    <xf numFmtId="0" fontId="25" fillId="5" borderId="74" xfId="1" applyFont="1" applyFill="1" applyBorder="1" applyAlignment="1">
      <alignment horizontal="center"/>
    </xf>
    <xf numFmtId="0" fontId="3" fillId="0" borderId="65" xfId="1" applyFont="1" applyFill="1" applyBorder="1" applyAlignment="1">
      <alignment horizontal="left" vertical="center"/>
    </xf>
    <xf numFmtId="0" fontId="3" fillId="0" borderId="59" xfId="1" applyFont="1" applyFill="1" applyBorder="1" applyAlignment="1">
      <alignment horizontal="left" vertical="center"/>
    </xf>
    <xf numFmtId="0" fontId="12" fillId="0" borderId="65" xfId="1" applyBorder="1" applyAlignment="1">
      <alignment horizontal="left" vertical="center"/>
    </xf>
    <xf numFmtId="0" fontId="12" fillId="0" borderId="59" xfId="1" applyBorder="1" applyAlignment="1">
      <alignment horizontal="left" vertical="center"/>
    </xf>
    <xf numFmtId="0" fontId="17" fillId="1" borderId="55" xfId="1" applyFont="1" applyFill="1" applyBorder="1" applyAlignment="1">
      <alignment horizontal="left" vertical="center" indent="1"/>
    </xf>
    <xf numFmtId="0" fontId="17" fillId="1" borderId="56" xfId="1" applyFont="1" applyFill="1" applyBorder="1" applyAlignment="1">
      <alignment horizontal="left" vertical="center" indent="1"/>
    </xf>
    <xf numFmtId="0" fontId="17" fillId="1" borderId="57" xfId="1" applyFont="1" applyFill="1" applyBorder="1" applyAlignment="1">
      <alignment horizontal="left" vertical="center" indent="1"/>
    </xf>
    <xf numFmtId="0" fontId="17" fillId="1" borderId="61" xfId="1" applyFont="1" applyFill="1" applyBorder="1" applyAlignment="1">
      <alignment horizontal="left" vertical="center" indent="1"/>
    </xf>
    <xf numFmtId="0" fontId="17" fillId="1" borderId="62" xfId="1" applyFont="1" applyFill="1" applyBorder="1" applyAlignment="1">
      <alignment horizontal="left" vertical="center" indent="1"/>
    </xf>
    <xf numFmtId="0" fontId="17" fillId="1" borderId="63" xfId="1" applyFont="1" applyFill="1" applyBorder="1" applyAlignment="1">
      <alignment horizontal="left" vertical="center" indent="1"/>
    </xf>
    <xf numFmtId="0" fontId="14" fillId="1" borderId="58" xfId="1" applyFont="1" applyFill="1" applyBorder="1" applyAlignment="1">
      <alignment horizontal="center" vertical="center" wrapText="1"/>
    </xf>
    <xf numFmtId="0" fontId="14" fillId="1" borderId="59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147"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</xdr:colOff>
      <xdr:row>0</xdr:row>
      <xdr:rowOff>7620</xdr:rowOff>
    </xdr:from>
    <xdr:to>
      <xdr:col>0</xdr:col>
      <xdr:colOff>6057900</xdr:colOff>
      <xdr:row>54</xdr:row>
      <xdr:rowOff>114299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479" y="7620"/>
          <a:ext cx="6027421" cy="90220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Anleitung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Allgemeines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Diese Arbeitsmappe wurde erstellt für die Erstellung der Spielpläne sowie für die Erfassung der Resultate eines Spieltages auf der Basis von 10 teilnehmenden Mannschaften in zwei Gruppen à 5 Mannschaften.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Makros müssen für die Berechnung der Tabellen aktiviert werden.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Sämtliche Registerblätter sind Schreibgeschützt (ohne Passwort)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Folge werden die einzelnen Registerblätter und deren Verwendung erklärt.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MASTER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sind ausschliesslich die gelb markierten Zellen auszufüllen.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Gruppeneinteilung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sind ausschliesslich die gelb markierten Zellen auszufüllen.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Spielplan Versand (blaues Register)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Dieser Spielplan dient ausschliesslich zum Versand an die Mannschaften vor dem Spieltag. Die Mannschaften sind gemäss Gruppeneinteilung eingetragen.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Resultate</a:t>
          </a: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VR (grünes Register)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diesem Registerblatt werden die Resultate eingetragen. Es müssen nur die grau hinterlegten Felder ausgefüllt werden.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Mittels Klick auf den Button ‚Tabelle berechnen‘ wird die einzelne Gruppentabelle neu berechnet. Die Berechnung funktioniert nur, wenn das Registerblatt geschützt ist.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ACHTUNG: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Die Berechnung der Tabelle nach direkten Begegnungen bei Punktgleichheit funktioniert </a:t>
          </a:r>
          <a:r>
            <a:rPr lang="de-DE" sz="11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NICHT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Bei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Punktgleichheit wird ein entsprechendes Feld aktiviert.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die Tabelle in diesem Fall anzupassen, muss der Blattschutz aufgehoben und die Tabelle manuell angepasst werden.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Das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Resultat der Hoffnungsrunde muss eingetragen werden, damit die Gruppeneinteilung für die Finalrunde vervollständigt werden kann.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>
            <a:buFont typeface="Arial" panose="020B0604020202020204" pitchFamily="34" charset="0"/>
            <a:buNone/>
          </a:pP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Gruppeneinteilung FR (oranges</a:t>
          </a: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Register)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CH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diesem Registerblatt wird nach Abschluss sämtlicher</a:t>
          </a:r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Spiele und nach der Berechnung der Tabelle die Gruppeneinteilung für die Finalrunde angezeigt.</a:t>
          </a:r>
        </a:p>
        <a:p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Spielberichte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Feld 'Spiel-Nr.' kann jeder Spielbericht aufgerufen werden. Die Spielberichte können einzeln oder als gesamtes (Spiele 1-20) ausgedruckt werden.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endParaRPr lang="de-CH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>
            <a:buFont typeface="Arial" panose="020B0604020202020204" pitchFamily="34" charset="0"/>
            <a:buNone/>
          </a:pP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Fragen zur Anwendung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Christian Götsch, 078 711 66 45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de-CH" sz="11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>
            <a:buFont typeface="Arial" panose="020B0604020202020204" pitchFamily="34" charset="0"/>
            <a:buNone/>
          </a:pPr>
          <a:endParaRPr lang="de-CH" sz="8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lvl="0" indent="0">
            <a:buFont typeface="Arial" panose="020B0604020202020204" pitchFamily="34" charset="0"/>
            <a:buNone/>
          </a:pPr>
          <a:r>
            <a:rPr lang="de-CH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erstellt: 22.10.2019</a:t>
          </a:r>
        </a:p>
        <a:p>
          <a:pPr marL="171450" lvl="0" indent="-171450">
            <a:buFont typeface="Arial" panose="020B0604020202020204" pitchFamily="34" charset="0"/>
            <a:buChar char="•"/>
          </a:pP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CH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175260</xdr:colOff>
      <xdr:row>10</xdr:row>
      <xdr:rowOff>106680</xdr:rowOff>
    </xdr:from>
    <xdr:to>
      <xdr:col>25</xdr:col>
      <xdr:colOff>47625</xdr:colOff>
      <xdr:row>13</xdr:row>
      <xdr:rowOff>0</xdr:rowOff>
    </xdr:to>
    <xdr:sp macro="[0]!VR_A_Tabelle" textlink="">
      <xdr:nvSpPr>
        <xdr:cNvPr id="2" name="Abgerundetes Rechtec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23410" y="3649980"/>
          <a:ext cx="1653540" cy="59817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400" b="1">
              <a:latin typeface="Arial" panose="020B0604020202020204" pitchFamily="34" charset="0"/>
              <a:cs typeface="Arial" panose="020B0604020202020204" pitchFamily="34" charset="0"/>
            </a:rPr>
            <a:t>Tabelle berechnen</a:t>
          </a:r>
        </a:p>
      </xdr:txBody>
    </xdr:sp>
    <xdr:clientData fPrintsWithSheet="0"/>
  </xdr:twoCellAnchor>
  <xdr:twoCellAnchor>
    <xdr:from>
      <xdr:col>14</xdr:col>
      <xdr:colOff>175260</xdr:colOff>
      <xdr:row>39</xdr:row>
      <xdr:rowOff>106680</xdr:rowOff>
    </xdr:from>
    <xdr:to>
      <xdr:col>25</xdr:col>
      <xdr:colOff>38100</xdr:colOff>
      <xdr:row>42</xdr:row>
      <xdr:rowOff>142875</xdr:rowOff>
    </xdr:to>
    <xdr:sp macro="[0]!VR_C_Tabelle" textlink="">
      <xdr:nvSpPr>
        <xdr:cNvPr id="4" name="Abgerundetes Rechteck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423410" y="7631430"/>
          <a:ext cx="1644015" cy="60769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400" b="1">
              <a:latin typeface="Arial" panose="020B0604020202020204" pitchFamily="34" charset="0"/>
              <a:cs typeface="Arial" panose="020B0604020202020204" pitchFamily="34" charset="0"/>
            </a:rPr>
            <a:t>Tabelle berechnen</a:t>
          </a:r>
        </a:p>
      </xdr:txBody>
    </xdr:sp>
    <xdr:clientData fPrintsWithSheet="0"/>
  </xdr:twoCellAnchor>
  <xdr:twoCellAnchor>
    <xdr:from>
      <xdr:col>14</xdr:col>
      <xdr:colOff>175260</xdr:colOff>
      <xdr:row>21</xdr:row>
      <xdr:rowOff>106680</xdr:rowOff>
    </xdr:from>
    <xdr:to>
      <xdr:col>25</xdr:col>
      <xdr:colOff>47625</xdr:colOff>
      <xdr:row>24</xdr:row>
      <xdr:rowOff>0</xdr:rowOff>
    </xdr:to>
    <xdr:sp macro="[0]!VR_B_Tabelle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432935" y="2230755"/>
          <a:ext cx="1653540" cy="4648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400" b="1">
              <a:latin typeface="Arial" panose="020B0604020202020204" pitchFamily="34" charset="0"/>
              <a:cs typeface="Arial" panose="020B0604020202020204" pitchFamily="34" charset="0"/>
            </a:rPr>
            <a:t>Tabelle berechnen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27214</xdr:rowOff>
    </xdr:from>
    <xdr:to>
      <xdr:col>5</xdr:col>
      <xdr:colOff>155121</xdr:colOff>
      <xdr:row>0</xdr:row>
      <xdr:rowOff>1113064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27214"/>
          <a:ext cx="1162050" cy="1085850"/>
        </a:xfrm>
        <a:prstGeom prst="rect">
          <a:avLst/>
        </a:prstGeom>
      </xdr:spPr>
    </xdr:pic>
    <xdr:clientData/>
  </xdr:twoCellAnchor>
  <xdr:twoCellAnchor>
    <xdr:from>
      <xdr:col>35</xdr:col>
      <xdr:colOff>28575</xdr:colOff>
      <xdr:row>4</xdr:row>
      <xdr:rowOff>9525</xdr:rowOff>
    </xdr:from>
    <xdr:to>
      <xdr:col>37</xdr:col>
      <xdr:colOff>704850</xdr:colOff>
      <xdr:row>5</xdr:row>
      <xdr:rowOff>180975</xdr:rowOff>
    </xdr:to>
    <xdr:sp macro="[0]!DiesenSBdrucken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7019925" y="2095500"/>
          <a:ext cx="1847850" cy="55245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Diesen Spielbericht drucken</a:t>
          </a:r>
        </a:p>
      </xdr:txBody>
    </xdr:sp>
    <xdr:clientData/>
  </xdr:twoCellAnchor>
  <xdr:twoCellAnchor>
    <xdr:from>
      <xdr:col>35</xdr:col>
      <xdr:colOff>38100</xdr:colOff>
      <xdr:row>7</xdr:row>
      <xdr:rowOff>9525</xdr:rowOff>
    </xdr:from>
    <xdr:to>
      <xdr:col>37</xdr:col>
      <xdr:colOff>733425</xdr:colOff>
      <xdr:row>7</xdr:row>
      <xdr:rowOff>533400</xdr:rowOff>
    </xdr:to>
    <xdr:sp macro="[0]!AlleSBdrucken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7029450" y="2857500"/>
          <a:ext cx="1866900" cy="523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Alle Spielberichte</a:t>
          </a:r>
          <a:r>
            <a:rPr lang="de-CH" sz="1200" b="1" baseline="0">
              <a:latin typeface="Arial" panose="020B0604020202020204" pitchFamily="34" charset="0"/>
              <a:cs typeface="Arial" panose="020B0604020202020204" pitchFamily="34" charset="0"/>
            </a:rPr>
            <a:t> drucken</a:t>
          </a:r>
          <a:endParaRPr lang="de-CH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"/>
  <sheetViews>
    <sheetView showGridLines="0" topLeftCell="A25" zoomScale="130" zoomScaleNormal="130" workbookViewId="0"/>
  </sheetViews>
  <sheetFormatPr baseColWidth="10" defaultRowHeight="13.2" x14ac:dyDescent="0.25"/>
  <cols>
    <col min="1" max="1" width="91.33203125" customWidth="1"/>
  </cols>
  <sheetData/>
  <sheetProtection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FFFF00"/>
  </sheetPr>
  <dimension ref="A1:E10"/>
  <sheetViews>
    <sheetView zoomScaleNormal="100" workbookViewId="0">
      <selection activeCell="C5" sqref="C5"/>
    </sheetView>
  </sheetViews>
  <sheetFormatPr baseColWidth="10" defaultColWidth="11.44140625" defaultRowHeight="22.2" customHeight="1" x14ac:dyDescent="0.25"/>
  <cols>
    <col min="1" max="1" width="21.33203125" style="4" customWidth="1"/>
    <col min="2" max="2" width="27.6640625" style="4" customWidth="1"/>
    <col min="3" max="3" width="16.109375" style="4" customWidth="1"/>
    <col min="4" max="16384" width="11.44140625" style="4"/>
  </cols>
  <sheetData>
    <row r="1" spans="1:5" ht="22.2" customHeight="1" x14ac:dyDescent="0.25">
      <c r="A1" s="5" t="s">
        <v>8</v>
      </c>
      <c r="B1" s="17" t="s">
        <v>87</v>
      </c>
    </row>
    <row r="2" spans="1:5" ht="22.2" customHeight="1" x14ac:dyDescent="0.25">
      <c r="A2" s="5"/>
      <c r="B2" s="5"/>
    </row>
    <row r="3" spans="1:5" ht="22.2" customHeight="1" x14ac:dyDescent="0.25">
      <c r="A3" s="5" t="s">
        <v>38</v>
      </c>
      <c r="B3" s="17" t="s">
        <v>96</v>
      </c>
      <c r="C3" s="17" t="s">
        <v>97</v>
      </c>
    </row>
    <row r="4" spans="1:5" ht="22.2" customHeight="1" x14ac:dyDescent="0.25">
      <c r="A4" s="5"/>
      <c r="B4" s="5"/>
      <c r="C4" s="22" t="s">
        <v>42</v>
      </c>
      <c r="D4" s="22" t="s">
        <v>43</v>
      </c>
    </row>
    <row r="5" spans="1:5" ht="22.2" customHeight="1" x14ac:dyDescent="0.25">
      <c r="A5" s="5" t="s">
        <v>37</v>
      </c>
      <c r="B5" s="84" t="s">
        <v>98</v>
      </c>
      <c r="C5" s="83">
        <v>0.5625</v>
      </c>
      <c r="D5" s="83">
        <v>2.0833333333333332E-2</v>
      </c>
      <c r="E5" s="21"/>
    </row>
    <row r="6" spans="1:5" ht="22.2" customHeight="1" x14ac:dyDescent="0.25">
      <c r="A6" s="5"/>
      <c r="B6" s="84" t="s">
        <v>99</v>
      </c>
      <c r="C6" s="265">
        <v>0.625</v>
      </c>
      <c r="D6" s="265">
        <v>2.7777777777777776E-2</v>
      </c>
      <c r="E6" s="21"/>
    </row>
    <row r="7" spans="1:5" ht="22.2" customHeight="1" x14ac:dyDescent="0.25">
      <c r="A7" s="5"/>
      <c r="B7" s="5"/>
    </row>
    <row r="8" spans="1:5" ht="22.2" customHeight="1" x14ac:dyDescent="0.25">
      <c r="A8" s="5" t="s">
        <v>9</v>
      </c>
      <c r="B8" s="17" t="s">
        <v>54</v>
      </c>
    </row>
    <row r="9" spans="1:5" ht="22.2" customHeight="1" x14ac:dyDescent="0.25">
      <c r="A9" s="5"/>
      <c r="B9" s="5"/>
    </row>
    <row r="10" spans="1:5" ht="22.2" customHeight="1" x14ac:dyDescent="0.25">
      <c r="A10" s="5" t="s">
        <v>7</v>
      </c>
      <c r="B10" s="17" t="s">
        <v>101</v>
      </c>
    </row>
  </sheetData>
  <sheetProtection sheet="1" selectLockedCells="1"/>
  <pageMargins left="0.7" right="0.7" top="0.78740157499999996" bottom="0.78740157499999996" header="0.3" footer="0.3"/>
  <pageSetup paperSize="9" scale="9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FFFF00"/>
  </sheetPr>
  <dimension ref="A1:K20"/>
  <sheetViews>
    <sheetView workbookViewId="0">
      <selection activeCell="B6" sqref="B6"/>
    </sheetView>
  </sheetViews>
  <sheetFormatPr baseColWidth="10" defaultColWidth="11.5546875" defaultRowHeight="13.2" x14ac:dyDescent="0.25"/>
  <cols>
    <col min="1" max="1" width="15" style="79" customWidth="1"/>
    <col min="2" max="3" width="22.6640625" style="79" customWidth="1"/>
    <col min="4" max="4" width="15.5546875" style="79" customWidth="1"/>
    <col min="5" max="5" width="26.109375" style="79" customWidth="1"/>
    <col min="6" max="6" width="24.109375" style="79" customWidth="1"/>
    <col min="7" max="10" width="11.5546875" style="79"/>
    <col min="11" max="11" width="16.44140625" style="79" customWidth="1"/>
    <col min="12" max="16384" width="11.5546875" style="79"/>
  </cols>
  <sheetData>
    <row r="1" spans="1:11" s="87" customFormat="1" ht="15.6" x14ac:dyDescent="0.3">
      <c r="A1" s="86" t="str">
        <f>CONCATENATE(MASTER!B1, " ", MASTER!B8, " - Kat. ", MASTER!B10)</f>
        <v>Ostschweizer Meisterschaft Halle 2019/2020 - Kat. U14</v>
      </c>
      <c r="K1" s="88"/>
    </row>
    <row r="2" spans="1:11" s="87" customFormat="1" ht="15.6" x14ac:dyDescent="0.3">
      <c r="A2" s="86" t="str">
        <f>CONCATENATE(MASTER!B3," / ",MASTER!C3)</f>
        <v>So. 15.12.2019 / Aadorf, Löhracker</v>
      </c>
      <c r="K2" s="88"/>
    </row>
    <row r="3" spans="1:11" s="87" customFormat="1" ht="15.6" x14ac:dyDescent="0.3">
      <c r="A3" s="86" t="str">
        <f>MASTER!B6</f>
        <v>Finalrunde</v>
      </c>
      <c r="H3" s="89"/>
    </row>
    <row r="5" spans="1:11" customFormat="1" x14ac:dyDescent="0.25">
      <c r="A5" s="1" t="s">
        <v>25</v>
      </c>
      <c r="B5" s="1" t="s">
        <v>11</v>
      </c>
      <c r="C5" s="1"/>
    </row>
    <row r="6" spans="1:11" customFormat="1" x14ac:dyDescent="0.25">
      <c r="A6" s="1" t="s">
        <v>0</v>
      </c>
      <c r="B6" s="16" t="s">
        <v>126</v>
      </c>
    </row>
    <row r="7" spans="1:11" customFormat="1" x14ac:dyDescent="0.25">
      <c r="A7" s="1" t="s">
        <v>1</v>
      </c>
      <c r="B7" s="16" t="s">
        <v>127</v>
      </c>
    </row>
    <row r="8" spans="1:11" customFormat="1" x14ac:dyDescent="0.25">
      <c r="A8" s="1" t="s">
        <v>2</v>
      </c>
      <c r="B8" s="16" t="s">
        <v>128</v>
      </c>
    </row>
    <row r="9" spans="1:11" customFormat="1" x14ac:dyDescent="0.25">
      <c r="A9" s="1"/>
    </row>
    <row r="10" spans="1:11" customFormat="1" x14ac:dyDescent="0.25">
      <c r="A10" s="1" t="s">
        <v>26</v>
      </c>
    </row>
    <row r="11" spans="1:11" customFormat="1" x14ac:dyDescent="0.25">
      <c r="A11" s="1" t="s">
        <v>3</v>
      </c>
      <c r="B11" s="16" t="s">
        <v>129</v>
      </c>
    </row>
    <row r="12" spans="1:11" customFormat="1" x14ac:dyDescent="0.25">
      <c r="A12" s="1" t="s">
        <v>4</v>
      </c>
      <c r="B12" s="16" t="s">
        <v>130</v>
      </c>
    </row>
    <row r="13" spans="1:11" customFormat="1" x14ac:dyDescent="0.25">
      <c r="A13" s="1" t="s">
        <v>5</v>
      </c>
      <c r="B13" s="16" t="s">
        <v>131</v>
      </c>
    </row>
    <row r="14" spans="1:11" x14ac:dyDescent="0.25">
      <c r="A14" s="1"/>
      <c r="B14"/>
    </row>
    <row r="15" spans="1:11" x14ac:dyDescent="0.25">
      <c r="A15" s="1" t="s">
        <v>102</v>
      </c>
      <c r="B15"/>
    </row>
    <row r="16" spans="1:11" x14ac:dyDescent="0.25">
      <c r="A16" s="1" t="s">
        <v>103</v>
      </c>
      <c r="B16" s="16" t="s">
        <v>132</v>
      </c>
    </row>
    <row r="17" spans="1:2" x14ac:dyDescent="0.25">
      <c r="A17" s="1" t="s">
        <v>104</v>
      </c>
      <c r="B17" s="16" t="s">
        <v>133</v>
      </c>
    </row>
    <row r="18" spans="1:2" x14ac:dyDescent="0.25">
      <c r="A18" s="1" t="s">
        <v>105</v>
      </c>
      <c r="B18" s="16" t="s">
        <v>134</v>
      </c>
    </row>
    <row r="19" spans="1:2" x14ac:dyDescent="0.25">
      <c r="A19" s="1" t="s">
        <v>106</v>
      </c>
      <c r="B19" s="16" t="s">
        <v>135</v>
      </c>
    </row>
    <row r="20" spans="1:2" x14ac:dyDescent="0.25">
      <c r="A20" s="1" t="s">
        <v>107</v>
      </c>
      <c r="B20" s="16" t="s">
        <v>136</v>
      </c>
    </row>
  </sheetData>
  <sheetProtection sheet="1" select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rgb="FF00B0F0"/>
  </sheetPr>
  <dimension ref="A1:R42"/>
  <sheetViews>
    <sheetView topLeftCell="A4" zoomScaleNormal="100" zoomScaleSheetLayoutView="115" workbookViewId="0"/>
  </sheetViews>
  <sheetFormatPr baseColWidth="10" defaultColWidth="5.5546875" defaultRowHeight="13.2" x14ac:dyDescent="0.25"/>
  <cols>
    <col min="1" max="3" width="5.5546875" style="2"/>
    <col min="4" max="4" width="1.6640625" style="2" customWidth="1"/>
    <col min="5" max="9" width="5.5546875" style="2"/>
    <col min="10" max="10" width="1.6640625" style="2" customWidth="1"/>
    <col min="11" max="15" width="5.5546875" style="2"/>
    <col min="16" max="16" width="1.6640625" style="2" customWidth="1"/>
    <col min="17" max="16384" width="5.5546875" style="2"/>
  </cols>
  <sheetData>
    <row r="1" spans="1:18" s="20" customFormat="1" ht="15.6" x14ac:dyDescent="0.3">
      <c r="A1" s="19" t="str">
        <f>CONCATENATE(MASTER!B1, " ", MASTER!B8, " - Kat. ", MASTER!B10)</f>
        <v>Ostschweizer Meisterschaft Halle 2019/2020 - Kat. U14</v>
      </c>
    </row>
    <row r="2" spans="1:18" s="20" customFormat="1" ht="15.6" x14ac:dyDescent="0.3">
      <c r="A2" s="86" t="str">
        <f>CONCATENATE(MASTER!B3," / ",MASTER!C3)</f>
        <v>So. 15.12.2019 / Aadorf, Löhracker</v>
      </c>
    </row>
    <row r="3" spans="1:18" s="20" customFormat="1" ht="15.6" x14ac:dyDescent="0.3">
      <c r="A3" s="86" t="str">
        <f>MASTER!B6</f>
        <v>Finalrunde</v>
      </c>
    </row>
    <row r="4" spans="1:18" s="20" customFormat="1" ht="15.6" x14ac:dyDescent="0.3">
      <c r="A4" s="86"/>
    </row>
    <row r="5" spans="1:18" s="20" customFormat="1" ht="15.6" x14ac:dyDescent="0.3">
      <c r="A5" s="19"/>
    </row>
    <row r="6" spans="1:18" s="24" customFormat="1" ht="16.95" customHeight="1" x14ac:dyDescent="0.25">
      <c r="B6" s="24" t="s">
        <v>108</v>
      </c>
      <c r="H6" s="24" t="s">
        <v>109</v>
      </c>
    </row>
    <row r="7" spans="1:18" x14ac:dyDescent="0.25">
      <c r="B7" s="1" t="s">
        <v>0</v>
      </c>
      <c r="C7" s="2" t="str">
        <f>VLOOKUP(B7, Gruppeneinteilung!$A$6:$B$1000, 2,FALSE)</f>
        <v>STV Affeltrangen</v>
      </c>
      <c r="H7" s="1" t="s">
        <v>3</v>
      </c>
      <c r="I7" s="2" t="str">
        <f>VLOOKUP(H7, Gruppeneinteilung!$A$6:$B$1000, 2,FALSE)</f>
        <v>TS Höchst</v>
      </c>
    </row>
    <row r="8" spans="1:18" x14ac:dyDescent="0.25">
      <c r="B8" s="1" t="s">
        <v>1</v>
      </c>
      <c r="C8" s="2" t="str">
        <f>VLOOKUP(B8, Gruppeneinteilung!$A$6:$B$1000, 2,FALSE)</f>
        <v>FG RiWi 2</v>
      </c>
      <c r="H8" s="1" t="s">
        <v>4</v>
      </c>
      <c r="I8" s="2" t="str">
        <f>VLOOKUP(H8, Gruppeneinteilung!$A$6:$B$1000, 2,FALSE)</f>
        <v xml:space="preserve">FBV Ettenhausen </v>
      </c>
    </row>
    <row r="9" spans="1:18" x14ac:dyDescent="0.25">
      <c r="B9" s="1" t="s">
        <v>2</v>
      </c>
      <c r="C9" s="2" t="str">
        <f>VLOOKUP(B9, Gruppeneinteilung!$A$6:$B$1000, 2,FALSE)</f>
        <v>SVD Diepoldsau</v>
      </c>
      <c r="H9" s="1" t="s">
        <v>5</v>
      </c>
      <c r="I9" s="2" t="str">
        <f>VLOOKUP(H9, Gruppeneinteilung!$A$6:$B$1000, 2,FALSE)</f>
        <v>FBT Flums</v>
      </c>
    </row>
    <row r="10" spans="1:18" x14ac:dyDescent="0.25">
      <c r="B10" s="1"/>
      <c r="H10" s="1"/>
    </row>
    <row r="11" spans="1:18" x14ac:dyDescent="0.25">
      <c r="B11" s="1"/>
      <c r="H11" s="1"/>
    </row>
    <row r="12" spans="1:18" x14ac:dyDescent="0.25">
      <c r="B12" s="1"/>
      <c r="H12" s="1"/>
      <c r="N12" s="1"/>
    </row>
    <row r="13" spans="1:18" ht="19.5" customHeight="1" x14ac:dyDescent="0.3">
      <c r="A13" s="19" t="s">
        <v>122</v>
      </c>
    </row>
    <row r="15" spans="1:18" x14ac:dyDescent="0.25">
      <c r="A15" s="24" t="s">
        <v>40</v>
      </c>
      <c r="B15" s="24" t="s">
        <v>39</v>
      </c>
      <c r="C15" s="314" t="s">
        <v>27</v>
      </c>
      <c r="D15" s="314"/>
      <c r="E15" s="314"/>
      <c r="F15" s="24" t="s">
        <v>41</v>
      </c>
      <c r="G15" s="3"/>
      <c r="H15" s="24" t="s">
        <v>39</v>
      </c>
      <c r="I15" s="314" t="s">
        <v>28</v>
      </c>
      <c r="J15" s="314"/>
      <c r="K15" s="314"/>
      <c r="L15" s="24" t="s">
        <v>41</v>
      </c>
      <c r="M15" s="24"/>
      <c r="N15" s="3"/>
      <c r="O15" s="3"/>
      <c r="P15" s="3"/>
      <c r="Q15" s="3"/>
      <c r="R15" s="3"/>
    </row>
    <row r="16" spans="1:18" s="82" customFormat="1" ht="14.25" customHeight="1" x14ac:dyDescent="0.25">
      <c r="A16" s="80">
        <f>MASTER!C5</f>
        <v>0.5625</v>
      </c>
      <c r="B16" s="81">
        <v>1</v>
      </c>
      <c r="C16" s="266" t="str">
        <f>$B$7</f>
        <v>A1</v>
      </c>
      <c r="D16" s="267" t="s">
        <v>10</v>
      </c>
      <c r="E16" s="82" t="str">
        <f>$B$8</f>
        <v>A2</v>
      </c>
      <c r="F16" s="82" t="str">
        <f>B9</f>
        <v>A3</v>
      </c>
      <c r="H16" s="81">
        <f>+B16+1</f>
        <v>2</v>
      </c>
      <c r="I16" s="266" t="str">
        <f>$H$7</f>
        <v>B1</v>
      </c>
      <c r="J16" s="267" t="s">
        <v>10</v>
      </c>
      <c r="K16" s="82" t="str">
        <f>$H$8</f>
        <v>B2</v>
      </c>
      <c r="L16" s="82" t="str">
        <f>$H$9</f>
        <v>B3</v>
      </c>
    </row>
    <row r="17" spans="1:18" s="82" customFormat="1" ht="14.25" customHeight="1" x14ac:dyDescent="0.25">
      <c r="A17" s="313" t="s">
        <v>138</v>
      </c>
      <c r="B17" s="81">
        <f>+B16+2</f>
        <v>3</v>
      </c>
      <c r="C17" s="266" t="str">
        <f>$B$8</f>
        <v>A2</v>
      </c>
      <c r="D17" s="267" t="s">
        <v>10</v>
      </c>
      <c r="E17" s="82" t="str">
        <f>$B$9</f>
        <v>A3</v>
      </c>
      <c r="F17" s="82" t="str">
        <f>$B$7</f>
        <v>A1</v>
      </c>
      <c r="H17" s="81">
        <f>+H16+2</f>
        <v>4</v>
      </c>
      <c r="I17" s="266" t="str">
        <f>$H$8</f>
        <v>B2</v>
      </c>
      <c r="J17" s="267" t="s">
        <v>10</v>
      </c>
      <c r="K17" s="82" t="str">
        <f>$H$9</f>
        <v>B3</v>
      </c>
      <c r="L17" s="82" t="str">
        <f>H7</f>
        <v>B1</v>
      </c>
    </row>
    <row r="18" spans="1:18" s="82" customFormat="1" ht="14.25" customHeight="1" x14ac:dyDescent="0.25">
      <c r="A18" s="268"/>
      <c r="B18" s="81">
        <f>+B17+2</f>
        <v>5</v>
      </c>
      <c r="C18" s="266" t="str">
        <f>$B$7</f>
        <v>A1</v>
      </c>
      <c r="D18" s="267" t="s">
        <v>10</v>
      </c>
      <c r="E18" s="82" t="str">
        <f>$B$9</f>
        <v>A3</v>
      </c>
      <c r="F18" s="82" t="str">
        <f>B8</f>
        <v>A2</v>
      </c>
      <c r="H18" s="81">
        <f>+H17+2</f>
        <v>6</v>
      </c>
      <c r="I18" s="266" t="str">
        <f>$H$7</f>
        <v>B1</v>
      </c>
      <c r="J18" s="267" t="s">
        <v>10</v>
      </c>
      <c r="K18" s="82" t="str">
        <f>$H$9</f>
        <v>B3</v>
      </c>
      <c r="L18" s="82" t="str">
        <f>$H$8</f>
        <v>B2</v>
      </c>
    </row>
    <row r="19" spans="1:18" x14ac:dyDescent="0.25">
      <c r="N19" s="23"/>
    </row>
    <row r="20" spans="1:18" ht="19.5" customHeight="1" x14ac:dyDescent="0.3">
      <c r="A20" s="19" t="str">
        <f>CONCATENATE(MASTER!B6," (2 Gewinnsätze à 11 Punkte; max. 15:14)")</f>
        <v>Finalrunde (2 Gewinnsätze à 11 Punkte; max. 15:14)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2" spans="1:18" x14ac:dyDescent="0.25">
      <c r="A22" s="24"/>
      <c r="B22" s="24" t="s">
        <v>39</v>
      </c>
      <c r="C22" s="314" t="s">
        <v>27</v>
      </c>
      <c r="D22" s="314"/>
      <c r="E22" s="314"/>
      <c r="F22" s="24" t="s">
        <v>41</v>
      </c>
      <c r="G22" s="3"/>
      <c r="H22" s="24" t="s">
        <v>39</v>
      </c>
      <c r="I22" s="314" t="s">
        <v>28</v>
      </c>
      <c r="J22" s="314"/>
      <c r="K22" s="314"/>
      <c r="L22" s="24" t="s">
        <v>41</v>
      </c>
      <c r="M22" s="24"/>
      <c r="N22" s="24"/>
      <c r="O22" s="314"/>
      <c r="P22" s="314"/>
      <c r="Q22" s="314"/>
      <c r="R22" s="24"/>
    </row>
    <row r="23" spans="1:18" ht="29.25" customHeight="1" x14ac:dyDescent="0.25">
      <c r="A23" s="80"/>
      <c r="B23" s="81">
        <v>7</v>
      </c>
      <c r="C23" s="315" t="s">
        <v>116</v>
      </c>
      <c r="D23" s="315"/>
      <c r="E23" s="315"/>
      <c r="F23" s="82" t="s">
        <v>51</v>
      </c>
      <c r="G23" s="82"/>
      <c r="H23" s="81">
        <f>+B23+1</f>
        <v>8</v>
      </c>
      <c r="I23" s="315" t="s">
        <v>117</v>
      </c>
      <c r="J23" s="315"/>
      <c r="K23" s="315"/>
      <c r="L23" s="82" t="s">
        <v>100</v>
      </c>
      <c r="M23" s="82"/>
      <c r="N23" s="81"/>
      <c r="O23" s="315"/>
      <c r="P23" s="315"/>
      <c r="Q23" s="315"/>
      <c r="R23" s="82"/>
    </row>
    <row r="24" spans="1:18" ht="29.25" customHeight="1" x14ac:dyDescent="0.25">
      <c r="A24" s="80"/>
      <c r="B24" s="81">
        <f>+B23+2</f>
        <v>9</v>
      </c>
      <c r="C24" s="315" t="s">
        <v>118</v>
      </c>
      <c r="D24" s="315"/>
      <c r="E24" s="315"/>
      <c r="F24" s="82" t="s">
        <v>111</v>
      </c>
      <c r="G24" s="82"/>
      <c r="H24" s="81">
        <f t="shared" ref="H24:H25" si="0">+H23+2</f>
        <v>10</v>
      </c>
      <c r="I24" s="315" t="s">
        <v>119</v>
      </c>
      <c r="J24" s="315"/>
      <c r="K24" s="315"/>
      <c r="L24" s="82" t="s">
        <v>112</v>
      </c>
      <c r="M24" s="82"/>
      <c r="N24" s="81"/>
      <c r="O24" s="315"/>
      <c r="P24" s="315"/>
      <c r="Q24" s="315"/>
      <c r="R24" s="82"/>
    </row>
    <row r="25" spans="1:18" ht="29.25" customHeight="1" x14ac:dyDescent="0.25">
      <c r="A25" s="80"/>
      <c r="B25" s="81">
        <f t="shared" ref="B25" si="1">+B24+2</f>
        <v>11</v>
      </c>
      <c r="C25" s="315" t="s">
        <v>120</v>
      </c>
      <c r="D25" s="315"/>
      <c r="E25" s="315"/>
      <c r="F25" s="82" t="s">
        <v>113</v>
      </c>
      <c r="G25" s="82"/>
      <c r="H25" s="81">
        <f t="shared" si="0"/>
        <v>12</v>
      </c>
      <c r="I25" s="315" t="s">
        <v>121</v>
      </c>
      <c r="J25" s="315"/>
      <c r="K25" s="315"/>
      <c r="L25" s="82" t="s">
        <v>114</v>
      </c>
      <c r="M25" s="82"/>
      <c r="N25" s="81"/>
      <c r="O25" s="315"/>
      <c r="P25" s="315"/>
      <c r="Q25" s="315"/>
      <c r="R25" s="82"/>
    </row>
    <row r="26" spans="1:18" ht="29.25" customHeight="1" x14ac:dyDescent="0.25">
      <c r="A26" s="80"/>
      <c r="G26" s="82"/>
      <c r="H26" s="81">
        <f>+B25+2</f>
        <v>13</v>
      </c>
      <c r="I26" s="315" t="s">
        <v>123</v>
      </c>
      <c r="J26" s="315"/>
      <c r="K26" s="315"/>
      <c r="L26" s="82" t="s">
        <v>115</v>
      </c>
      <c r="M26" s="82"/>
      <c r="N26" s="81"/>
      <c r="O26" s="315"/>
      <c r="P26" s="315"/>
      <c r="Q26" s="315"/>
      <c r="R26" s="82"/>
    </row>
    <row r="28" spans="1:18" x14ac:dyDescent="0.25">
      <c r="A28" s="2" t="s">
        <v>137</v>
      </c>
    </row>
    <row r="30" spans="1:18" x14ac:dyDescent="0.25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</row>
    <row r="31" spans="1:18" s="20" customFormat="1" ht="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s="3" customFormat="1" ht="18.75" customHeight="1" x14ac:dyDescent="0.25">
      <c r="B32" s="24" t="s">
        <v>110</v>
      </c>
      <c r="C32" s="24"/>
      <c r="D32" s="24"/>
      <c r="E32" s="24"/>
      <c r="F32" s="24"/>
      <c r="M32" s="24" t="s">
        <v>40</v>
      </c>
      <c r="N32" s="24" t="s">
        <v>39</v>
      </c>
      <c r="O32" s="314" t="s">
        <v>52</v>
      </c>
      <c r="P32" s="314"/>
      <c r="Q32" s="314"/>
      <c r="R32" s="270" t="s">
        <v>41</v>
      </c>
    </row>
    <row r="33" spans="1:18" s="82" customFormat="1" ht="13.5" customHeight="1" x14ac:dyDescent="0.25">
      <c r="B33" s="1" t="s">
        <v>103</v>
      </c>
      <c r="C33" s="2" t="str">
        <f>VLOOKUP(B33, Gruppeneinteilung!$A$6:$B$1000, 2,FALSE)</f>
        <v>FG RiWi 1</v>
      </c>
      <c r="D33" s="2"/>
      <c r="E33" s="2"/>
      <c r="F33" s="2"/>
      <c r="M33" s="268" t="s">
        <v>124</v>
      </c>
      <c r="N33" s="81">
        <v>14</v>
      </c>
      <c r="O33" s="266" t="str">
        <f>$B$33</f>
        <v>C1</v>
      </c>
      <c r="P33" s="267" t="s">
        <v>10</v>
      </c>
      <c r="Q33" s="82" t="str">
        <f>$B$34</f>
        <v>C2</v>
      </c>
      <c r="R33" s="271" t="str">
        <f>$B$37</f>
        <v>C5</v>
      </c>
    </row>
    <row r="34" spans="1:18" s="82" customFormat="1" ht="13.5" customHeight="1" x14ac:dyDescent="0.25">
      <c r="B34" s="1" t="s">
        <v>104</v>
      </c>
      <c r="C34" s="2" t="str">
        <f>VLOOKUP(B34, Gruppeneinteilung!$A$6:$B$1000, 2,FALSE)</f>
        <v>TS Schwarzach</v>
      </c>
      <c r="D34" s="2"/>
      <c r="E34" s="2"/>
      <c r="F34" s="2"/>
      <c r="M34" s="313" t="s">
        <v>138</v>
      </c>
      <c r="N34" s="81">
        <f>+N33+1</f>
        <v>15</v>
      </c>
      <c r="O34" s="266" t="str">
        <f>$B$35</f>
        <v>C3</v>
      </c>
      <c r="P34" s="267" t="s">
        <v>10</v>
      </c>
      <c r="Q34" s="82" t="str">
        <f>$B$36</f>
        <v>C4</v>
      </c>
      <c r="R34" s="271" t="str">
        <f>$B$33</f>
        <v>C1</v>
      </c>
    </row>
    <row r="35" spans="1:18" s="82" customFormat="1" ht="13.5" customHeight="1" x14ac:dyDescent="0.25">
      <c r="B35" s="1" t="s">
        <v>105</v>
      </c>
      <c r="C35" s="2" t="str">
        <f>VLOOKUP(B35, Gruppeneinteilung!$A$6:$B$1000, 2,FALSE)</f>
        <v>STV Wigoltingen</v>
      </c>
      <c r="D35" s="2"/>
      <c r="E35" s="2"/>
      <c r="F35" s="2"/>
      <c r="M35" s="80"/>
      <c r="N35" s="81">
        <f t="shared" ref="N35" si="2">+N34+1</f>
        <v>16</v>
      </c>
      <c r="O35" s="266" t="str">
        <f>$B$33</f>
        <v>C1</v>
      </c>
      <c r="P35" s="267" t="s">
        <v>10</v>
      </c>
      <c r="Q35" s="82" t="str">
        <f>$B$37</f>
        <v>C5</v>
      </c>
      <c r="R35" s="271" t="str">
        <f>$B$36</f>
        <v>C4</v>
      </c>
    </row>
    <row r="36" spans="1:18" s="82" customFormat="1" ht="13.5" customHeight="1" x14ac:dyDescent="0.25">
      <c r="B36" s="1" t="s">
        <v>106</v>
      </c>
      <c r="C36" s="2" t="str">
        <f>VLOOKUP(B36, Gruppeneinteilung!$A$6:$B$1000, 2,FALSE)</f>
        <v>Satus Kreuzlingen</v>
      </c>
      <c r="D36" s="2"/>
      <c r="E36" s="2"/>
      <c r="F36" s="2"/>
      <c r="M36" s="80"/>
      <c r="N36" s="81">
        <f t="shared" ref="N36:N42" si="3">+N35+1</f>
        <v>17</v>
      </c>
      <c r="O36" s="266" t="str">
        <f>$B$34</f>
        <v>C2</v>
      </c>
      <c r="P36" s="267" t="s">
        <v>10</v>
      </c>
      <c r="Q36" s="82" t="str">
        <f>$B$35</f>
        <v>C3</v>
      </c>
      <c r="R36" s="271" t="str">
        <f>$B$33</f>
        <v>C1</v>
      </c>
    </row>
    <row r="37" spans="1:18" s="82" customFormat="1" ht="13.5" customHeight="1" x14ac:dyDescent="0.25">
      <c r="B37" s="1" t="s">
        <v>107</v>
      </c>
      <c r="C37" s="2" t="str">
        <f>VLOOKUP(B37, Gruppeneinteilung!$A$6:$B$1000, 2,FALSE)</f>
        <v>JFB Widnau</v>
      </c>
      <c r="D37" s="2"/>
      <c r="E37" s="2"/>
      <c r="F37" s="2"/>
      <c r="M37" s="80"/>
      <c r="N37" s="81">
        <f t="shared" si="3"/>
        <v>18</v>
      </c>
      <c r="O37" s="266" t="str">
        <f>$B$36</f>
        <v>C4</v>
      </c>
      <c r="P37" s="267" t="s">
        <v>10</v>
      </c>
      <c r="Q37" s="82" t="str">
        <f>$B$37</f>
        <v>C5</v>
      </c>
      <c r="R37" s="271" t="str">
        <f>$B$34</f>
        <v>C2</v>
      </c>
    </row>
    <row r="38" spans="1:18" s="82" customFormat="1" ht="13.5" customHeight="1" x14ac:dyDescent="0.25">
      <c r="M38" s="80"/>
      <c r="N38" s="81">
        <f t="shared" si="3"/>
        <v>19</v>
      </c>
      <c r="O38" s="266" t="str">
        <f>$B$33</f>
        <v>C1</v>
      </c>
      <c r="P38" s="267" t="s">
        <v>10</v>
      </c>
      <c r="Q38" s="82" t="str">
        <f>$B$35</f>
        <v>C3</v>
      </c>
      <c r="R38" s="271" t="str">
        <f>$B$37</f>
        <v>C5</v>
      </c>
    </row>
    <row r="39" spans="1:18" s="82" customFormat="1" ht="13.5" customHeight="1" x14ac:dyDescent="0.25">
      <c r="M39" s="80"/>
      <c r="N39" s="81">
        <f t="shared" si="3"/>
        <v>20</v>
      </c>
      <c r="O39" s="266" t="str">
        <f>$B$34</f>
        <v>C2</v>
      </c>
      <c r="P39" s="267" t="s">
        <v>10</v>
      </c>
      <c r="Q39" s="82" t="str">
        <f>$B$37</f>
        <v>C5</v>
      </c>
      <c r="R39" s="271" t="str">
        <f>$B$35</f>
        <v>C3</v>
      </c>
    </row>
    <row r="40" spans="1:18" s="82" customFormat="1" ht="13.5" customHeight="1" x14ac:dyDescent="0.25">
      <c r="B40" s="272" t="s">
        <v>125</v>
      </c>
      <c r="M40" s="80"/>
      <c r="N40" s="81">
        <f t="shared" si="3"/>
        <v>21</v>
      </c>
      <c r="O40" s="266" t="str">
        <f>$B$33</f>
        <v>C1</v>
      </c>
      <c r="P40" s="267" t="s">
        <v>10</v>
      </c>
      <c r="Q40" s="82" t="str">
        <f>$B$36</f>
        <v>C4</v>
      </c>
      <c r="R40" s="271" t="str">
        <f>$B$34</f>
        <v>C2</v>
      </c>
    </row>
    <row r="41" spans="1:18" s="82" customFormat="1" ht="13.5" customHeight="1" x14ac:dyDescent="0.25">
      <c r="M41" s="80"/>
      <c r="N41" s="81">
        <f t="shared" si="3"/>
        <v>22</v>
      </c>
      <c r="O41" s="266" t="str">
        <f>$B$35</f>
        <v>C3</v>
      </c>
      <c r="P41" s="267" t="s">
        <v>10</v>
      </c>
      <c r="Q41" s="82" t="str">
        <f>$B$37</f>
        <v>C5</v>
      </c>
      <c r="R41" s="271" t="str">
        <f>$B$36</f>
        <v>C4</v>
      </c>
    </row>
    <row r="42" spans="1:18" s="82" customFormat="1" ht="13.5" customHeight="1" x14ac:dyDescent="0.25">
      <c r="A42" s="2"/>
      <c r="M42" s="80"/>
      <c r="N42" s="81">
        <f t="shared" si="3"/>
        <v>23</v>
      </c>
      <c r="O42" s="266" t="str">
        <f>$B$34</f>
        <v>C2</v>
      </c>
      <c r="P42" s="267" t="s">
        <v>10</v>
      </c>
      <c r="Q42" s="82" t="str">
        <f>$B$36</f>
        <v>C4</v>
      </c>
      <c r="R42" s="271" t="str">
        <f>$B$35</f>
        <v>C3</v>
      </c>
    </row>
  </sheetData>
  <sheetProtection sheet="1" selectLockedCells="1"/>
  <mergeCells count="17">
    <mergeCell ref="C15:E15"/>
    <mergeCell ref="I15:K15"/>
    <mergeCell ref="I22:K22"/>
    <mergeCell ref="O22:Q22"/>
    <mergeCell ref="I23:K23"/>
    <mergeCell ref="O23:Q23"/>
    <mergeCell ref="C24:E24"/>
    <mergeCell ref="I24:K24"/>
    <mergeCell ref="O24:Q24"/>
    <mergeCell ref="C22:E22"/>
    <mergeCell ref="C23:E23"/>
    <mergeCell ref="O32:Q32"/>
    <mergeCell ref="C25:E25"/>
    <mergeCell ref="I25:K25"/>
    <mergeCell ref="O25:Q25"/>
    <mergeCell ref="I26:K26"/>
    <mergeCell ref="O26:Q26"/>
  </mergeCells>
  <pageMargins left="0.59055118110236227" right="0.59055118110236227" top="0.9055118110236221" bottom="0.78740157480314965" header="0.59055118110236227" footer="0.47244094488188981"/>
  <pageSetup paperSize="9" orientation="portrait" r:id="rId1"/>
  <headerFooter>
    <oddHeader>&amp;R&amp;G</oddHeader>
    <oddFooter>&amp;L&amp;7Christian Götsch, Spielleiter
Haldenstrasse 15, 8357 Guntershausen
Mobil 078 711 66 45
ch.christian.goetsch@gmail.com
www.faustball-ostschweiz.ch&amp;R&amp;G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rgb="FF92D050"/>
  </sheetPr>
  <dimension ref="A1:BS87"/>
  <sheetViews>
    <sheetView tabSelected="1" topLeftCell="A46" zoomScale="85" zoomScaleNormal="85" workbookViewId="0">
      <selection activeCell="G37" sqref="G37"/>
    </sheetView>
  </sheetViews>
  <sheetFormatPr baseColWidth="10" defaultColWidth="11.44140625" defaultRowHeight="13.2" customHeight="1" x14ac:dyDescent="0.25"/>
  <cols>
    <col min="1" max="1" width="5.6640625" style="13" customWidth="1"/>
    <col min="2" max="2" width="2.88671875" style="13" customWidth="1"/>
    <col min="3" max="3" width="19.6640625" style="13" customWidth="1"/>
    <col min="4" max="4" width="1.5546875" style="13" bestFit="1" customWidth="1"/>
    <col min="5" max="7" width="5.88671875" style="13" customWidth="1"/>
    <col min="8" max="8" width="1.44140625" style="13" customWidth="1"/>
    <col min="9" max="9" width="5.88671875" style="13" customWidth="1"/>
    <col min="10" max="10" width="2" style="7" customWidth="1"/>
    <col min="11" max="11" width="1.5546875" style="13" bestFit="1" customWidth="1"/>
    <col min="12" max="13" width="2" style="7" customWidth="1"/>
    <col min="14" max="14" width="1.5546875" style="13" bestFit="1" customWidth="1"/>
    <col min="15" max="15" width="3.109375" style="14" bestFit="1" customWidth="1"/>
    <col min="16" max="16" width="1.5546875" style="13" bestFit="1" customWidth="1"/>
    <col min="17" max="17" width="3.109375" style="14" bestFit="1" customWidth="1"/>
    <col min="18" max="18" width="1.5546875" style="13" bestFit="1" customWidth="1"/>
    <col min="19" max="19" width="3.109375" style="14" bestFit="1" customWidth="1"/>
    <col min="20" max="20" width="1.5546875" style="13" bestFit="1" customWidth="1"/>
    <col min="21" max="21" width="3.109375" style="14" bestFit="1" customWidth="1"/>
    <col min="22" max="22" width="1.5546875" style="13" customWidth="1"/>
    <col min="23" max="23" width="3.109375" style="14" customWidth="1"/>
    <col min="24" max="24" width="1.5546875" style="13" customWidth="1"/>
    <col min="25" max="25" width="3.109375" style="14" customWidth="1"/>
    <col min="26" max="26" width="1.5546875" style="13" bestFit="1" customWidth="1"/>
    <col min="27" max="27" width="14.88671875" style="13" customWidth="1"/>
    <col min="28" max="29" width="3.44140625" style="13" hidden="1" customWidth="1"/>
    <col min="30" max="30" width="11.44140625" style="13" hidden="1" customWidth="1"/>
    <col min="31" max="31" width="3.44140625" style="13" hidden="1" customWidth="1"/>
    <col min="32" max="32" width="23.5546875" style="13" hidden="1" customWidth="1"/>
    <col min="33" max="33" width="3.5546875" style="7" hidden="1" customWidth="1"/>
    <col min="34" max="63" width="4.44140625" style="13" hidden="1" customWidth="1"/>
    <col min="64" max="71" width="11.44140625" style="13" hidden="1" customWidth="1"/>
    <col min="72" max="16384" width="11.44140625" style="13"/>
  </cols>
  <sheetData>
    <row r="1" spans="1:70" s="67" customFormat="1" ht="15.6" customHeight="1" x14ac:dyDescent="0.25">
      <c r="A1" s="74" t="str">
        <f>CONCATENATE(MASTER!B1, " ", MASTER!B8, " - Kat. ", MASTER!B10)</f>
        <v>Ostschweizer Meisterschaft Halle 2019/2020 - Kat. U14</v>
      </c>
      <c r="J1" s="6"/>
      <c r="L1" s="6"/>
      <c r="M1" s="6"/>
      <c r="O1" s="68"/>
      <c r="Q1" s="68"/>
      <c r="S1" s="68"/>
      <c r="U1" s="68"/>
      <c r="W1" s="68"/>
      <c r="Y1" s="68"/>
      <c r="AD1" s="69">
        <f ca="1">TODAY()</f>
        <v>43814</v>
      </c>
      <c r="AG1" s="6"/>
    </row>
    <row r="2" spans="1:70" s="67" customFormat="1" ht="15.6" customHeight="1" x14ac:dyDescent="0.3">
      <c r="A2" s="86" t="str">
        <f>CONCATENATE(MASTER!B3," / ",MASTER!C3)</f>
        <v>So. 15.12.2019 / Aadorf, Löhracker</v>
      </c>
      <c r="J2" s="6"/>
      <c r="L2" s="6"/>
      <c r="M2" s="6"/>
      <c r="O2" s="68"/>
      <c r="Q2" s="68"/>
      <c r="S2" s="68"/>
      <c r="U2" s="68"/>
      <c r="W2" s="68"/>
      <c r="Y2" s="68"/>
      <c r="AD2" s="69"/>
      <c r="AG2" s="6"/>
    </row>
    <row r="3" spans="1:70" s="67" customFormat="1" ht="15.6" customHeight="1" thickBot="1" x14ac:dyDescent="0.3">
      <c r="A3" s="75" t="str">
        <f>MASTER!B6</f>
        <v>Finalrunde</v>
      </c>
      <c r="J3" s="6"/>
      <c r="L3" s="6"/>
      <c r="M3" s="6"/>
      <c r="O3" s="68"/>
      <c r="Q3" s="68"/>
      <c r="S3" s="68"/>
      <c r="U3" s="68"/>
      <c r="W3" s="68"/>
      <c r="Y3" s="68"/>
      <c r="AG3" s="6"/>
    </row>
    <row r="4" spans="1:70" ht="13.2" customHeight="1" thickBot="1" x14ac:dyDescent="0.3">
      <c r="AH4" s="70" t="s">
        <v>29</v>
      </c>
      <c r="AI4" s="71" t="s">
        <v>30</v>
      </c>
      <c r="AJ4" s="71" t="s">
        <v>31</v>
      </c>
      <c r="AK4" s="71" t="s">
        <v>32</v>
      </c>
      <c r="AL4" s="72" t="s">
        <v>33</v>
      </c>
      <c r="AM4" s="71" t="s">
        <v>34</v>
      </c>
      <c r="AN4" s="71" t="s">
        <v>35</v>
      </c>
      <c r="AO4" s="73" t="s">
        <v>36</v>
      </c>
    </row>
    <row r="5" spans="1:70" ht="21.75" customHeight="1" x14ac:dyDescent="0.25">
      <c r="A5" s="75" t="s">
        <v>44</v>
      </c>
      <c r="AE5" s="275" t="s">
        <v>0</v>
      </c>
      <c r="AF5" s="276" t="str">
        <f>VLOOKUP(AE5,Gruppeneinteilung!$A$5:$B$20,2,0)</f>
        <v>STV Affeltrangen</v>
      </c>
      <c r="AG5" s="8">
        <v>1</v>
      </c>
      <c r="AH5" s="47">
        <f>IF(OR(AQ5&gt;0,AR5&gt;0),1,0)</f>
        <v>1</v>
      </c>
      <c r="AI5" s="47">
        <f>((AQ5&gt;AR5)*1+(AS5&gt;AT5)*1+(AU5&gt;AV5)*1+(AW5&gt;AX5)*1+(AY5&gt;AZ5)*1&gt;1.99)*2+((BB5&gt;BC5)*1+(BD5&gt;BE5)*1+(BF5&gt;BG5)*1+(BH5&gt;BI5)*1+(BJ5&gt;BK5)*1&gt;1.99)*2</f>
        <v>0</v>
      </c>
      <c r="AJ5" s="47">
        <f>IF(AQ5&gt;AR5,1,0)+IF(AS5&gt;AT5,1,0)+IF(AU5&gt;AV5,1,0)+IF(AW5&gt;AX5,1,0)+IF(AY5&gt;AZ5,1,0)+IF(BB5&gt;BC5,1,0)+IF(BD5&gt;BE5,1,0)+IF(BF5&gt;BG5,1,0)+IF(BH5&gt;BI5,1,0)+IF(BJ5&gt;BK5,1,0)</f>
        <v>0</v>
      </c>
      <c r="AK5" s="47">
        <f>IF(AQ5&lt;AR5,1,0)+IF(AS5&lt;AT5,1,0)+IF(AU5&lt;AV5,1,0)+IF(AW5&lt;AX5,1,0)+IF(AY5&lt;AZ5,1,0)+IF(BB5&lt;BC5,1,0)+IF(BD5&lt;BE5,1,0)+IF(BF5&lt;BG5,1,0)+IF(BH5&lt;BI5,1,0)+IF(BJ5&lt;BK5,1,0)</f>
        <v>2</v>
      </c>
      <c r="AL5" s="47">
        <f>AJ5-AK5</f>
        <v>-2</v>
      </c>
      <c r="AM5" s="47">
        <f t="shared" ref="AM5:AN6" si="0">AQ5+AS5+AU5+BB5+BD5+BF5</f>
        <v>15</v>
      </c>
      <c r="AN5" s="47">
        <f t="shared" si="0"/>
        <v>24</v>
      </c>
      <c r="AO5" s="47">
        <f>AM5-AN5</f>
        <v>-9</v>
      </c>
      <c r="AP5" s="60"/>
      <c r="AQ5" s="61">
        <f>O6</f>
        <v>4</v>
      </c>
      <c r="AR5" s="62">
        <f>Q6</f>
        <v>11</v>
      </c>
      <c r="AS5" s="62">
        <f>S6</f>
        <v>11</v>
      </c>
      <c r="AT5" s="62">
        <f>U6</f>
        <v>13</v>
      </c>
      <c r="AU5" s="62">
        <f>W6</f>
        <v>0</v>
      </c>
      <c r="AV5" s="62">
        <f>Y6</f>
        <v>0</v>
      </c>
      <c r="AW5" s="62"/>
      <c r="AX5" s="62"/>
      <c r="AY5" s="63"/>
      <c r="AZ5" s="64"/>
      <c r="BA5" s="60"/>
      <c r="BB5" s="61"/>
      <c r="BC5" s="62"/>
      <c r="BD5" s="62"/>
      <c r="BE5" s="62"/>
      <c r="BF5" s="62"/>
      <c r="BG5" s="62"/>
      <c r="BH5" s="62"/>
      <c r="BI5" s="62"/>
      <c r="BJ5" s="63"/>
      <c r="BK5" s="65"/>
    </row>
    <row r="6" spans="1:70" ht="15" customHeight="1" x14ac:dyDescent="0.25">
      <c r="A6" s="76"/>
      <c r="B6" s="13" t="str">
        <f>VLOOKUP(AB6,Gruppeneinteilung!$A$5:$B$20,2,0)</f>
        <v>STV Affeltrangen</v>
      </c>
      <c r="D6" s="15" t="s">
        <v>10</v>
      </c>
      <c r="E6" s="13" t="str">
        <f>VLOOKUP(AC6,Gruppeneinteilung!$A$5:$B$20,2,0)</f>
        <v>FG RiWi 2</v>
      </c>
      <c r="J6" s="25">
        <v>0</v>
      </c>
      <c r="K6" s="77" t="s">
        <v>12</v>
      </c>
      <c r="L6" s="25">
        <v>2</v>
      </c>
      <c r="M6" s="78"/>
      <c r="N6" s="77" t="s">
        <v>13</v>
      </c>
      <c r="O6" s="25">
        <v>4</v>
      </c>
      <c r="P6" s="77" t="s">
        <v>12</v>
      </c>
      <c r="Q6" s="25">
        <v>11</v>
      </c>
      <c r="R6" s="77" t="s">
        <v>16</v>
      </c>
      <c r="S6" s="25">
        <v>11</v>
      </c>
      <c r="T6" s="77" t="s">
        <v>12</v>
      </c>
      <c r="U6" s="25">
        <v>13</v>
      </c>
      <c r="V6" s="77" t="s">
        <v>16</v>
      </c>
      <c r="W6" s="25"/>
      <c r="X6" s="77" t="s">
        <v>12</v>
      </c>
      <c r="Y6" s="25"/>
      <c r="Z6" s="77" t="s">
        <v>14</v>
      </c>
      <c r="AA6" s="15"/>
      <c r="AB6" s="84" t="s">
        <v>0</v>
      </c>
      <c r="AC6" s="84" t="s">
        <v>1</v>
      </c>
      <c r="AD6" s="15"/>
      <c r="AE6" s="294"/>
      <c r="AF6" s="295"/>
      <c r="AG6" s="9">
        <v>2</v>
      </c>
      <c r="AH6" s="47">
        <f>IF(OR(AQ6&gt;0,AR6&gt;0),1,0)</f>
        <v>1</v>
      </c>
      <c r="AI6" s="26">
        <f>((AQ6&gt;AR6)*1+(AS6&gt;AT6)*1+(AU6&gt;AV6)*1+(AW6&gt;AX6)*1+(AY6&gt;AZ6)*1&gt;1.99)*2+((BB6&gt;BC6)*1+(BD6&gt;BE6)*1+(BF6&gt;BG6)*1+(BH6&gt;BI6)*1+(BJ6&gt;BK6)*1&gt;1.99)*2</f>
        <v>2</v>
      </c>
      <c r="AJ6" s="26">
        <f t="shared" ref="AJ6" si="1">IF(AQ6&gt;AR6,1,0)+IF(AS6&gt;AT6,1,0)+IF(AU6&gt;AV6,1,0)+IF(AW6&gt;AX6,1,0)+IF(AY6&gt;AZ6,1,0)+IF(BB6&gt;BC6,1,0)+IF(BD6&gt;BE6,1,0)+IF(BF6&gt;BG6,1,0)+IF(BH6&gt;BI6,1,0)+IF(BJ6&gt;BK6,1,0)</f>
        <v>2</v>
      </c>
      <c r="AK6" s="26">
        <f t="shared" ref="AK6" si="2">IF(AQ6&lt;AR6,1,0)+IF(AS6&lt;AT6,1,0)+IF(AU6&lt;AV6,1,0)+IF(AW6&lt;AX6,1,0)+IF(AY6&lt;AZ6,1,0)+IF(BB6&lt;BC6,1,0)+IF(BD6&lt;BE6,1,0)+IF(BF6&lt;BG6,1,0)+IF(BH6&lt;BI6,1,0)+IF(BJ6&lt;BK6,1,0)</f>
        <v>1</v>
      </c>
      <c r="AL6" s="26">
        <f>AJ6-AK6</f>
        <v>1</v>
      </c>
      <c r="AM6" s="26">
        <f t="shared" si="0"/>
        <v>35</v>
      </c>
      <c r="AN6" s="26">
        <f t="shared" si="0"/>
        <v>34</v>
      </c>
      <c r="AO6" s="26">
        <f>AM6-AN6</f>
        <v>1</v>
      </c>
      <c r="AP6" s="27"/>
      <c r="AQ6" s="28">
        <f>O8</f>
        <v>9</v>
      </c>
      <c r="AR6" s="29">
        <f>Q8</f>
        <v>11</v>
      </c>
      <c r="AS6" s="29">
        <f>S8</f>
        <v>15</v>
      </c>
      <c r="AT6" s="29">
        <f>U8</f>
        <v>14</v>
      </c>
      <c r="AU6" s="29">
        <f>W8</f>
        <v>11</v>
      </c>
      <c r="AV6" s="29">
        <f>Y8</f>
        <v>9</v>
      </c>
      <c r="AW6" s="29"/>
      <c r="AX6" s="29"/>
      <c r="AY6" s="30"/>
      <c r="AZ6" s="31"/>
      <c r="BA6" s="27"/>
      <c r="BB6" s="28"/>
      <c r="BC6" s="29"/>
      <c r="BD6" s="29"/>
      <c r="BE6" s="29"/>
      <c r="BF6" s="29"/>
      <c r="BG6" s="29"/>
      <c r="BH6" s="29"/>
      <c r="BI6" s="29"/>
      <c r="BJ6" s="30"/>
      <c r="BK6" s="32"/>
      <c r="BM6" s="13" t="s">
        <v>94</v>
      </c>
    </row>
    <row r="7" spans="1:70" ht="15" customHeight="1" thickBot="1" x14ac:dyDescent="0.3">
      <c r="A7" s="76"/>
      <c r="B7" s="13" t="str">
        <f>VLOOKUP(AB7,Gruppeneinteilung!$A$5:$B$20,2,0)</f>
        <v>FG RiWi 2</v>
      </c>
      <c r="D7" s="15" t="s">
        <v>10</v>
      </c>
      <c r="E7" s="13" t="str">
        <f>VLOOKUP(AC7,Gruppeneinteilung!$A$5:$B$20,2,0)</f>
        <v>SVD Diepoldsau</v>
      </c>
      <c r="J7" s="25">
        <v>2</v>
      </c>
      <c r="K7" s="77" t="s">
        <v>12</v>
      </c>
      <c r="L7" s="25">
        <v>0</v>
      </c>
      <c r="M7" s="78"/>
      <c r="N7" s="77" t="s">
        <v>13</v>
      </c>
      <c r="O7" s="25">
        <v>12</v>
      </c>
      <c r="P7" s="77" t="s">
        <v>12</v>
      </c>
      <c r="Q7" s="25">
        <v>10</v>
      </c>
      <c r="R7" s="77" t="s">
        <v>16</v>
      </c>
      <c r="S7" s="25">
        <v>11</v>
      </c>
      <c r="T7" s="77" t="s">
        <v>12</v>
      </c>
      <c r="U7" s="25">
        <v>9</v>
      </c>
      <c r="V7" s="77" t="s">
        <v>16</v>
      </c>
      <c r="W7" s="25"/>
      <c r="X7" s="77" t="s">
        <v>12</v>
      </c>
      <c r="Y7" s="25"/>
      <c r="Z7" s="77" t="s">
        <v>14</v>
      </c>
      <c r="AB7" s="84" t="s">
        <v>1</v>
      </c>
      <c r="AC7" s="84" t="s">
        <v>2</v>
      </c>
      <c r="AE7" s="277"/>
      <c r="AF7" s="278"/>
      <c r="AG7" s="10"/>
      <c r="AH7" s="39">
        <f t="shared" ref="AH7:AO7" si="3">SUM(AH5:AH6)</f>
        <v>2</v>
      </c>
      <c r="AI7" s="39">
        <f t="shared" si="3"/>
        <v>2</v>
      </c>
      <c r="AJ7" s="39">
        <f t="shared" si="3"/>
        <v>2</v>
      </c>
      <c r="AK7" s="39">
        <f t="shared" si="3"/>
        <v>3</v>
      </c>
      <c r="AL7" s="39">
        <f t="shared" si="3"/>
        <v>-1</v>
      </c>
      <c r="AM7" s="39">
        <f t="shared" si="3"/>
        <v>50</v>
      </c>
      <c r="AN7" s="39">
        <f t="shared" si="3"/>
        <v>58</v>
      </c>
      <c r="AO7" s="39">
        <f t="shared" si="3"/>
        <v>-8</v>
      </c>
      <c r="AP7" s="40"/>
      <c r="AQ7" s="41"/>
      <c r="AR7" s="42"/>
      <c r="AS7" s="42"/>
      <c r="AT7" s="42"/>
      <c r="AU7" s="42"/>
      <c r="AV7" s="42"/>
      <c r="AW7" s="42"/>
      <c r="AX7" s="42"/>
      <c r="AY7" s="43"/>
      <c r="AZ7" s="44"/>
      <c r="BA7" s="40"/>
      <c r="BB7" s="41"/>
      <c r="BC7" s="42"/>
      <c r="BD7" s="42"/>
      <c r="BE7" s="42"/>
      <c r="BF7" s="42"/>
      <c r="BG7" s="42"/>
      <c r="BH7" s="42"/>
      <c r="BI7" s="42"/>
      <c r="BJ7" s="43"/>
      <c r="BK7" s="45"/>
    </row>
    <row r="8" spans="1:70" ht="15" customHeight="1" x14ac:dyDescent="0.25">
      <c r="A8" s="76"/>
      <c r="B8" s="13" t="str">
        <f>VLOOKUP(AB8,Gruppeneinteilung!$A$5:$B$20,2,0)</f>
        <v>STV Affeltrangen</v>
      </c>
      <c r="D8" s="15" t="s">
        <v>10</v>
      </c>
      <c r="E8" s="13" t="str">
        <f>VLOOKUP(AC8,Gruppeneinteilung!$A$5:$B$20,2,0)</f>
        <v>SVD Diepoldsau</v>
      </c>
      <c r="J8" s="25">
        <v>2</v>
      </c>
      <c r="K8" s="77" t="s">
        <v>12</v>
      </c>
      <c r="L8" s="25">
        <v>1</v>
      </c>
      <c r="M8" s="78"/>
      <c r="N8" s="77" t="s">
        <v>13</v>
      </c>
      <c r="O8" s="25">
        <v>9</v>
      </c>
      <c r="P8" s="77" t="s">
        <v>12</v>
      </c>
      <c r="Q8" s="25">
        <v>11</v>
      </c>
      <c r="R8" s="77" t="s">
        <v>16</v>
      </c>
      <c r="S8" s="25">
        <v>15</v>
      </c>
      <c r="T8" s="77" t="s">
        <v>12</v>
      </c>
      <c r="U8" s="25">
        <v>14</v>
      </c>
      <c r="V8" s="77" t="s">
        <v>16</v>
      </c>
      <c r="W8" s="25">
        <v>11</v>
      </c>
      <c r="X8" s="77" t="s">
        <v>12</v>
      </c>
      <c r="Y8" s="25">
        <v>9</v>
      </c>
      <c r="Z8" s="77" t="s">
        <v>14</v>
      </c>
      <c r="AB8" s="84" t="s">
        <v>0</v>
      </c>
      <c r="AC8" s="84" t="s">
        <v>2</v>
      </c>
      <c r="AE8" s="296" t="s">
        <v>1</v>
      </c>
      <c r="AF8" s="297" t="str">
        <f>VLOOKUP(AE8,Gruppeneinteilung!$A$5:$B$20,2,0)</f>
        <v>FG RiWi 2</v>
      </c>
      <c r="AG8" s="8">
        <v>1</v>
      </c>
      <c r="AH8" s="47">
        <f>IF(OR(AQ8&gt;0,AR8&gt;0),1,0)</f>
        <v>1</v>
      </c>
      <c r="AI8" s="46">
        <f>((AQ8&gt;AR8)*1+(AS8&gt;AT8)*1+(AU8&gt;AV8)*1+(AW8&gt;AX8)*1+(AY8&gt;AZ8)*1&gt;1.99)*2+((BB8&gt;BC8)*1+(BD8&gt;BE8)*1+(BF8&gt;BG8)*1+(BH8&gt;BI8)*1+(BJ8&gt;BK8)*1&gt;1.99)*2</f>
        <v>2</v>
      </c>
      <c r="AJ8" s="46">
        <f>IF(AQ8&gt;AR8,1,0)+IF(AS8&gt;AT8,1,0)+IF(AU8&gt;AV8,1,0)+IF(AW8&gt;AX8,1,0)+IF(AY8&gt;AZ8,1,0)+IF(BB8&gt;BC8,1,0)+IF(BD8&gt;BE8,1,0)+IF(BF8&gt;BG8,1,0)+IF(BH8&gt;BI8,1,0)+IF(BJ8&gt;BK8,1,0)</f>
        <v>2</v>
      </c>
      <c r="AK8" s="46">
        <f>IF(AQ8&lt;AR8,1,0)+IF(AS8&lt;AT8,1,0)+IF(AU8&lt;AV8,1,0)+IF(AW8&lt;AX8,1,0)+IF(AY8&lt;AZ8,1,0)+IF(BB8&lt;BC8,1,0)+IF(BD8&lt;BE8,1,0)+IF(BF8&lt;BG8,1,0)+IF(BH8&lt;BI8,1,0)+IF(BJ8&lt;BK8,1,0)</f>
        <v>0</v>
      </c>
      <c r="AL8" s="47">
        <f>AJ8-AK8</f>
        <v>2</v>
      </c>
      <c r="AM8" s="46">
        <f t="shared" ref="AM8" si="4">AQ8+AS8+AU8+BB8+BD8+BF8</f>
        <v>24</v>
      </c>
      <c r="AN8" s="46">
        <f t="shared" ref="AN8" si="5">AR8+AT8+AV8+BC8+BE8+BG8</f>
        <v>15</v>
      </c>
      <c r="AO8" s="47">
        <f>AM8-AN8</f>
        <v>9</v>
      </c>
      <c r="AP8" s="48"/>
      <c r="AQ8" s="49">
        <f>Q6</f>
        <v>11</v>
      </c>
      <c r="AR8" s="50">
        <f>O6</f>
        <v>4</v>
      </c>
      <c r="AS8" s="50">
        <f>U6</f>
        <v>13</v>
      </c>
      <c r="AT8" s="50">
        <f>S6</f>
        <v>11</v>
      </c>
      <c r="AU8" s="50">
        <f>Y6</f>
        <v>0</v>
      </c>
      <c r="AV8" s="50">
        <f>W6</f>
        <v>0</v>
      </c>
      <c r="AW8" s="50"/>
      <c r="AX8" s="50"/>
      <c r="AY8" s="51"/>
      <c r="AZ8" s="52"/>
      <c r="BA8" s="48"/>
      <c r="BB8" s="49"/>
      <c r="BC8" s="50"/>
      <c r="BD8" s="50"/>
      <c r="BE8" s="50"/>
      <c r="BF8" s="50"/>
      <c r="BG8" s="50"/>
      <c r="BH8" s="50"/>
      <c r="BI8" s="50"/>
      <c r="BJ8" s="51"/>
      <c r="BK8" s="53"/>
      <c r="BM8" s="13">
        <f>$F$11-$F$12</f>
        <v>2</v>
      </c>
      <c r="BN8" s="13">
        <f>$F$12-$F$13</f>
        <v>2</v>
      </c>
      <c r="BR8" s="13">
        <f>MIN(BM8:BQ8)</f>
        <v>2</v>
      </c>
    </row>
    <row r="9" spans="1:70" ht="15" customHeight="1" x14ac:dyDescent="0.25">
      <c r="A9" s="76"/>
      <c r="AE9" s="294"/>
      <c r="AF9" s="295"/>
      <c r="AG9" s="9">
        <v>3</v>
      </c>
      <c r="AH9" s="47">
        <f>IF(OR(AQ9&gt;0,AR9&gt;0),1,0)</f>
        <v>1</v>
      </c>
      <c r="AI9" s="26">
        <f>((AQ9&gt;AR9)*1+(AS9&gt;AT9)*1+(AU9&gt;AV9)*1+(AW9&gt;AX9)*1+(AY9&gt;AZ9)*1&gt;1.99)*2+((BB9&gt;BC9)*1+(BD9&gt;BE9)*1+(BF9&gt;BG9)*1+(BH9&gt;BI9)*1+(BJ9&gt;BK9)*1&gt;1.99)*2</f>
        <v>2</v>
      </c>
      <c r="AJ9" s="26">
        <f t="shared" ref="AJ9" si="6">IF(AQ9&gt;AR9,1,0)+IF(AS9&gt;AT9,1,0)+IF(AU9&gt;AV9,1,0)+IF(AW9&gt;AX9,1,0)+IF(AY9&gt;AZ9,1,0)+IF(BB9&gt;BC9,1,0)+IF(BD9&gt;BE9,1,0)+IF(BF9&gt;BG9,1,0)+IF(BH9&gt;BI9,1,0)+IF(BJ9&gt;BK9,1,0)</f>
        <v>2</v>
      </c>
      <c r="AK9" s="26">
        <f t="shared" ref="AK9" si="7">IF(AQ9&lt;AR9,1,0)+IF(AS9&lt;AT9,1,0)+IF(AU9&lt;AV9,1,0)+IF(AW9&lt;AX9,1,0)+IF(AY9&lt;AZ9,1,0)+IF(BB9&lt;BC9,1,0)+IF(BD9&lt;BE9,1,0)+IF(BF9&lt;BG9,1,0)+IF(BH9&lt;BI9,1,0)+IF(BJ9&lt;BK9,1,0)</f>
        <v>0</v>
      </c>
      <c r="AL9" s="26">
        <f>AJ9-AK9</f>
        <v>2</v>
      </c>
      <c r="AM9" s="26">
        <f t="shared" ref="AM9:AN9" si="8">AQ9+AS9+AU9+BB9+BD9+BF9</f>
        <v>23</v>
      </c>
      <c r="AN9" s="26">
        <f t="shared" si="8"/>
        <v>19</v>
      </c>
      <c r="AO9" s="26">
        <f>AM9-AN9</f>
        <v>4</v>
      </c>
      <c r="AP9" s="33"/>
      <c r="AQ9" s="34">
        <f>O7</f>
        <v>12</v>
      </c>
      <c r="AR9" s="35">
        <f>Q7</f>
        <v>10</v>
      </c>
      <c r="AS9" s="35">
        <f>S7</f>
        <v>11</v>
      </c>
      <c r="AT9" s="35">
        <f>U7</f>
        <v>9</v>
      </c>
      <c r="AU9" s="35">
        <f>W7</f>
        <v>0</v>
      </c>
      <c r="AV9" s="35">
        <f>Y7</f>
        <v>0</v>
      </c>
      <c r="AW9" s="35"/>
      <c r="AX9" s="35"/>
      <c r="AY9" s="36"/>
      <c r="AZ9" s="37"/>
      <c r="BA9" s="33"/>
      <c r="BB9" s="34"/>
      <c r="BC9" s="35"/>
      <c r="BD9" s="35"/>
      <c r="BE9" s="35"/>
      <c r="BF9" s="35"/>
      <c r="BG9" s="35"/>
      <c r="BH9" s="35"/>
      <c r="BI9" s="35"/>
      <c r="BJ9" s="36"/>
      <c r="BK9" s="38"/>
    </row>
    <row r="10" spans="1:70" ht="21.75" customHeight="1" thickBot="1" x14ac:dyDescent="0.3">
      <c r="A10" s="75" t="s">
        <v>46</v>
      </c>
      <c r="E10" s="18" t="str">
        <f t="shared" ref="E10:G10" si="9">AG17</f>
        <v>Sp.</v>
      </c>
      <c r="F10" s="18" t="str">
        <f t="shared" si="9"/>
        <v>Pkte.</v>
      </c>
      <c r="G10" s="316" t="str">
        <f t="shared" si="9"/>
        <v>Bälle</v>
      </c>
      <c r="H10" s="316"/>
      <c r="I10" s="316"/>
      <c r="AE10" s="277"/>
      <c r="AF10" s="278"/>
      <c r="AG10" s="10"/>
      <c r="AH10" s="39">
        <f t="shared" ref="AH10:AO10" si="10">SUM(AH8:AH9)</f>
        <v>2</v>
      </c>
      <c r="AI10" s="39">
        <f t="shared" si="10"/>
        <v>4</v>
      </c>
      <c r="AJ10" s="39">
        <f t="shared" si="10"/>
        <v>4</v>
      </c>
      <c r="AK10" s="39">
        <f t="shared" si="10"/>
        <v>0</v>
      </c>
      <c r="AL10" s="39">
        <f t="shared" si="10"/>
        <v>4</v>
      </c>
      <c r="AM10" s="39">
        <f t="shared" si="10"/>
        <v>47</v>
      </c>
      <c r="AN10" s="39">
        <f t="shared" si="10"/>
        <v>34</v>
      </c>
      <c r="AO10" s="39">
        <f t="shared" si="10"/>
        <v>13</v>
      </c>
      <c r="AP10" s="40"/>
      <c r="AQ10" s="41"/>
      <c r="AR10" s="42"/>
      <c r="AS10" s="42"/>
      <c r="AT10" s="42"/>
      <c r="AU10" s="42"/>
      <c r="AV10" s="42"/>
      <c r="AW10" s="42"/>
      <c r="AX10" s="42"/>
      <c r="AY10" s="43"/>
      <c r="AZ10" s="44"/>
      <c r="BA10" s="40"/>
      <c r="BB10" s="41"/>
      <c r="BC10" s="42"/>
      <c r="BD10" s="42"/>
      <c r="BE10" s="42"/>
      <c r="BF10" s="42"/>
      <c r="BG10" s="42"/>
      <c r="BH10" s="42"/>
      <c r="BI10" s="42"/>
      <c r="BJ10" s="43"/>
      <c r="BK10" s="45"/>
    </row>
    <row r="11" spans="1:70" ht="15" customHeight="1" x14ac:dyDescent="0.25">
      <c r="A11" s="76"/>
      <c r="B11" s="15" t="s">
        <v>18</v>
      </c>
      <c r="C11" s="13" t="str">
        <f>AF18</f>
        <v>FG RiWi 2</v>
      </c>
      <c r="E11" s="7">
        <f>AG18</f>
        <v>2</v>
      </c>
      <c r="F11" s="7">
        <f>AH18</f>
        <v>4</v>
      </c>
      <c r="G11" s="13">
        <f>AI18</f>
        <v>47</v>
      </c>
      <c r="H11" s="15" t="s">
        <v>12</v>
      </c>
      <c r="I11" s="14">
        <f>AJ18</f>
        <v>34</v>
      </c>
      <c r="AE11" s="296" t="s">
        <v>2</v>
      </c>
      <c r="AF11" s="297" t="str">
        <f>VLOOKUP(AE11,Gruppeneinteilung!$A$5:$B$20,2,0)</f>
        <v>SVD Diepoldsau</v>
      </c>
      <c r="AG11" s="9">
        <v>1</v>
      </c>
      <c r="AH11" s="47">
        <f>IF(OR(AQ11&gt;0,AR11&gt;0),1,0)</f>
        <v>1</v>
      </c>
      <c r="AI11" s="26">
        <f>((AQ11&gt;AR11)*1+(AS11&gt;AT11)*1+(AU11&gt;AV11)*1+(AW11&gt;AX11)*1+(AY11&gt;AZ11)*1&gt;1.99)*2+((BB11&gt;BC11)*1+(BD11&gt;BE11)*1+(BF11&gt;BG11)*1+(BH11&gt;BI11)*1+(BJ11&gt;BK11)*1&gt;1.99)*2</f>
        <v>0</v>
      </c>
      <c r="AJ11" s="26">
        <f t="shared" ref="AJ11" si="11">IF(AQ11&gt;AR11,1,0)+IF(AS11&gt;AT11,1,0)+IF(AU11&gt;AV11,1,0)+IF(AW11&gt;AX11,1,0)+IF(AY11&gt;AZ11,1,0)+IF(BB11&gt;BC11,1,0)+IF(BD11&gt;BE11,1,0)+IF(BF11&gt;BG11,1,0)+IF(BH11&gt;BI11,1,0)+IF(BJ11&gt;BK11,1,0)</f>
        <v>1</v>
      </c>
      <c r="AK11" s="26">
        <f t="shared" ref="AK11" si="12">IF(AQ11&lt;AR11,1,0)+IF(AS11&lt;AT11,1,0)+IF(AU11&lt;AV11,1,0)+IF(AW11&lt;AX11,1,0)+IF(AY11&lt;AZ11,1,0)+IF(BB11&lt;BC11,1,0)+IF(BD11&lt;BE11,1,0)+IF(BF11&lt;BG11,1,0)+IF(BH11&lt;BI11,1,0)+IF(BJ11&lt;BK11,1,0)</f>
        <v>2</v>
      </c>
      <c r="AL11" s="26">
        <f>AJ11-AK11</f>
        <v>-1</v>
      </c>
      <c r="AM11" s="26">
        <f t="shared" ref="AM11:AN11" si="13">AQ11+AS11+AU11+BB11+BD11+BF11</f>
        <v>34</v>
      </c>
      <c r="AN11" s="26">
        <f t="shared" si="13"/>
        <v>35</v>
      </c>
      <c r="AO11" s="26">
        <f>AM11-AN11</f>
        <v>-1</v>
      </c>
      <c r="AP11" s="27"/>
      <c r="AQ11" s="28">
        <f>Q8</f>
        <v>11</v>
      </c>
      <c r="AR11" s="29">
        <f>O8</f>
        <v>9</v>
      </c>
      <c r="AS11" s="29">
        <f>U8</f>
        <v>14</v>
      </c>
      <c r="AT11" s="29">
        <f>S8</f>
        <v>15</v>
      </c>
      <c r="AU11" s="29">
        <f>Y8</f>
        <v>9</v>
      </c>
      <c r="AV11" s="29">
        <f>W8</f>
        <v>11</v>
      </c>
      <c r="AW11" s="29"/>
      <c r="AX11" s="29"/>
      <c r="AY11" s="30"/>
      <c r="AZ11" s="31"/>
      <c r="BA11" s="27"/>
      <c r="BB11" s="28"/>
      <c r="BC11" s="29"/>
      <c r="BD11" s="29"/>
      <c r="BE11" s="29"/>
      <c r="BF11" s="29"/>
      <c r="BG11" s="29"/>
      <c r="BH11" s="29"/>
      <c r="BI11" s="29"/>
      <c r="BJ11" s="30"/>
      <c r="BK11" s="32"/>
    </row>
    <row r="12" spans="1:70" ht="15" customHeight="1" x14ac:dyDescent="0.25">
      <c r="A12" s="76"/>
      <c r="B12" s="15" t="s">
        <v>19</v>
      </c>
      <c r="C12" s="13" t="str">
        <f t="shared" ref="C12:C13" si="14">AF19</f>
        <v>STV Affeltrangen</v>
      </c>
      <c r="E12" s="7">
        <f t="shared" ref="E12:E13" si="15">AG19</f>
        <v>2</v>
      </c>
      <c r="F12" s="7">
        <f t="shared" ref="F12:F13" si="16">AH19</f>
        <v>2</v>
      </c>
      <c r="G12" s="13">
        <f t="shared" ref="G12:G13" si="17">AI19</f>
        <v>50</v>
      </c>
      <c r="H12" s="15" t="s">
        <v>12</v>
      </c>
      <c r="I12" s="14">
        <f>AJ19</f>
        <v>58</v>
      </c>
      <c r="AA12" s="317" t="str">
        <f>IF(BR8=0, "DIREKTE BEGEGNUNG", "")</f>
        <v/>
      </c>
      <c r="AE12" s="294"/>
      <c r="AF12" s="295"/>
      <c r="AG12" s="9">
        <v>2</v>
      </c>
      <c r="AH12" s="47">
        <f>IF(OR(AQ12&gt;0,AR12&gt;0),1,0)</f>
        <v>1</v>
      </c>
      <c r="AI12" s="26">
        <f>((AQ12&gt;AR12)*1+(AS12&gt;AT12)*1+(AU12&gt;AV12)*1+(AW12&gt;AX12)*1+(AY12&gt;AZ12)*1&gt;1.99)*2+((BB12&gt;BC12)*1+(BD12&gt;BE12)*1+(BF12&gt;BG12)*1+(BH12&gt;BI12)*1+(BJ12&gt;BK12)*1&gt;1.99)*2</f>
        <v>0</v>
      </c>
      <c r="AJ12" s="26">
        <f t="shared" ref="AJ12" si="18">IF(AQ12&gt;AR12,1,0)+IF(AS12&gt;AT12,1,0)+IF(AU12&gt;AV12,1,0)+IF(AW12&gt;AX12,1,0)+IF(AY12&gt;AZ12,1,0)+IF(BB12&gt;BC12,1,0)+IF(BD12&gt;BE12,1,0)+IF(BF12&gt;BG12,1,0)+IF(BH12&gt;BI12,1,0)+IF(BJ12&gt;BK12,1,0)</f>
        <v>0</v>
      </c>
      <c r="AK12" s="26">
        <f t="shared" ref="AK12" si="19">IF(AQ12&lt;AR12,1,0)+IF(AS12&lt;AT12,1,0)+IF(AU12&lt;AV12,1,0)+IF(AW12&lt;AX12,1,0)+IF(AY12&lt;AZ12,1,0)+IF(BB12&lt;BC12,1,0)+IF(BD12&lt;BE12,1,0)+IF(BF12&lt;BG12,1,0)+IF(BH12&lt;BI12,1,0)+IF(BJ12&lt;BK12,1,0)</f>
        <v>2</v>
      </c>
      <c r="AL12" s="26">
        <f>AJ12-AK12</f>
        <v>-2</v>
      </c>
      <c r="AM12" s="26">
        <f t="shared" ref="AM12" si="20">AQ12+AS12+AU12+BB12+BD12+BF12</f>
        <v>19</v>
      </c>
      <c r="AN12" s="26">
        <f t="shared" ref="AN12" si="21">AR12+AT12+AV12+BC12+BE12+BG12</f>
        <v>23</v>
      </c>
      <c r="AO12" s="26">
        <f>AM12-AN12</f>
        <v>-4</v>
      </c>
      <c r="AP12" s="33"/>
      <c r="AQ12" s="34">
        <f>Q7</f>
        <v>10</v>
      </c>
      <c r="AR12" s="35">
        <f>O7</f>
        <v>12</v>
      </c>
      <c r="AS12" s="35">
        <f>U7</f>
        <v>9</v>
      </c>
      <c r="AT12" s="35">
        <f>S7</f>
        <v>11</v>
      </c>
      <c r="AU12" s="35">
        <f>Y7</f>
        <v>0</v>
      </c>
      <c r="AV12" s="35">
        <f>W7</f>
        <v>0</v>
      </c>
      <c r="AW12" s="35"/>
      <c r="AX12" s="35"/>
      <c r="AY12" s="36"/>
      <c r="AZ12" s="37"/>
      <c r="BA12" s="33"/>
      <c r="BB12" s="34"/>
      <c r="BC12" s="35"/>
      <c r="BD12" s="35"/>
      <c r="BE12" s="35"/>
      <c r="BF12" s="35"/>
      <c r="BG12" s="35"/>
      <c r="BH12" s="35"/>
      <c r="BI12" s="35"/>
      <c r="BJ12" s="36"/>
      <c r="BK12" s="38"/>
    </row>
    <row r="13" spans="1:70" ht="15" customHeight="1" thickBot="1" x14ac:dyDescent="0.3">
      <c r="A13" s="76"/>
      <c r="B13" s="15" t="s">
        <v>20</v>
      </c>
      <c r="C13" s="13" t="str">
        <f t="shared" si="14"/>
        <v>SVD Diepoldsau</v>
      </c>
      <c r="E13" s="7">
        <f t="shared" si="15"/>
        <v>2</v>
      </c>
      <c r="F13" s="7">
        <f t="shared" si="16"/>
        <v>0</v>
      </c>
      <c r="G13" s="13">
        <f t="shared" si="17"/>
        <v>53</v>
      </c>
      <c r="H13" s="15" t="s">
        <v>12</v>
      </c>
      <c r="I13" s="14">
        <f t="shared" ref="I13" si="22">AJ20</f>
        <v>58</v>
      </c>
      <c r="AA13" s="317"/>
      <c r="AE13" s="277"/>
      <c r="AF13" s="278"/>
      <c r="AG13" s="11"/>
      <c r="AH13" s="39">
        <f t="shared" ref="AH13:AO13" si="23">SUM(AH11:AH12)</f>
        <v>2</v>
      </c>
      <c r="AI13" s="39">
        <f t="shared" si="23"/>
        <v>0</v>
      </c>
      <c r="AJ13" s="39">
        <f t="shared" si="23"/>
        <v>1</v>
      </c>
      <c r="AK13" s="39">
        <f t="shared" si="23"/>
        <v>4</v>
      </c>
      <c r="AL13" s="39">
        <f t="shared" si="23"/>
        <v>-3</v>
      </c>
      <c r="AM13" s="39">
        <f t="shared" si="23"/>
        <v>53</v>
      </c>
      <c r="AN13" s="39">
        <f t="shared" si="23"/>
        <v>58</v>
      </c>
      <c r="AO13" s="39">
        <f t="shared" si="23"/>
        <v>-5</v>
      </c>
      <c r="AP13" s="40"/>
      <c r="AQ13" s="41"/>
      <c r="AR13" s="42"/>
      <c r="AS13" s="42"/>
      <c r="AT13" s="42"/>
      <c r="AU13" s="42"/>
      <c r="AV13" s="42"/>
      <c r="AW13" s="42"/>
      <c r="AX13" s="42"/>
      <c r="AY13" s="43"/>
      <c r="AZ13" s="44"/>
      <c r="BA13" s="40"/>
      <c r="BB13" s="41"/>
      <c r="BC13" s="42"/>
      <c r="BD13" s="42"/>
      <c r="BE13" s="42"/>
      <c r="BF13" s="42"/>
      <c r="BG13" s="42"/>
      <c r="BH13" s="42"/>
      <c r="BI13" s="42"/>
      <c r="BJ13" s="43"/>
      <c r="BK13" s="45"/>
    </row>
    <row r="14" spans="1:70" ht="15" customHeight="1" x14ac:dyDescent="0.25">
      <c r="I14" s="14"/>
    </row>
    <row r="15" spans="1:70" ht="15" customHeight="1" x14ac:dyDescent="0.25">
      <c r="A15" s="66"/>
      <c r="E15" s="274"/>
      <c r="F15" s="274"/>
      <c r="AE15" s="13" t="s">
        <v>17</v>
      </c>
      <c r="AH15" s="7">
        <f t="shared" ref="AH15:AO15" si="24">+AH7+AH10+AH13</f>
        <v>6</v>
      </c>
      <c r="AI15" s="7">
        <f t="shared" si="24"/>
        <v>6</v>
      </c>
      <c r="AJ15" s="7">
        <f t="shared" si="24"/>
        <v>7</v>
      </c>
      <c r="AK15" s="7">
        <f t="shared" si="24"/>
        <v>7</v>
      </c>
      <c r="AL15" s="7">
        <f t="shared" si="24"/>
        <v>0</v>
      </c>
      <c r="AM15" s="7">
        <f t="shared" si="24"/>
        <v>150</v>
      </c>
      <c r="AN15" s="7">
        <f t="shared" si="24"/>
        <v>150</v>
      </c>
      <c r="AO15" s="7">
        <f t="shared" si="24"/>
        <v>0</v>
      </c>
      <c r="AP15" s="7"/>
      <c r="AQ15" s="7">
        <f t="shared" ref="AQ15:AZ15" si="25">SUM(AQ5:AQ13)</f>
        <v>57</v>
      </c>
      <c r="AR15" s="7">
        <f t="shared" si="25"/>
        <v>57</v>
      </c>
      <c r="AS15" s="7">
        <f t="shared" si="25"/>
        <v>73</v>
      </c>
      <c r="AT15" s="7">
        <f t="shared" si="25"/>
        <v>73</v>
      </c>
      <c r="AU15" s="7">
        <f t="shared" si="25"/>
        <v>20</v>
      </c>
      <c r="AV15" s="7">
        <f t="shared" si="25"/>
        <v>20</v>
      </c>
      <c r="AW15" s="7">
        <f t="shared" si="25"/>
        <v>0</v>
      </c>
      <c r="AX15" s="7">
        <f t="shared" si="25"/>
        <v>0</v>
      </c>
      <c r="AY15" s="7">
        <f t="shared" si="25"/>
        <v>0</v>
      </c>
      <c r="AZ15" s="7">
        <f t="shared" si="25"/>
        <v>0</v>
      </c>
      <c r="BA15" s="7"/>
      <c r="BB15" s="7">
        <f t="shared" ref="BB15:BK15" si="26">SUM(BB5:BB13)</f>
        <v>0</v>
      </c>
      <c r="BC15" s="7">
        <f t="shared" si="26"/>
        <v>0</v>
      </c>
      <c r="BD15" s="7">
        <f t="shared" si="26"/>
        <v>0</v>
      </c>
      <c r="BE15" s="7">
        <f t="shared" si="26"/>
        <v>0</v>
      </c>
      <c r="BF15" s="7">
        <f t="shared" si="26"/>
        <v>0</v>
      </c>
      <c r="BG15" s="7">
        <f t="shared" si="26"/>
        <v>0</v>
      </c>
      <c r="BH15" s="7">
        <f t="shared" si="26"/>
        <v>0</v>
      </c>
      <c r="BI15" s="7">
        <f t="shared" si="26"/>
        <v>0</v>
      </c>
      <c r="BJ15" s="7">
        <f t="shared" si="26"/>
        <v>0</v>
      </c>
      <c r="BK15" s="7">
        <f t="shared" si="26"/>
        <v>0</v>
      </c>
    </row>
    <row r="16" spans="1:70" s="279" customFormat="1" ht="21.75" customHeight="1" x14ac:dyDescent="0.25">
      <c r="A16" s="75" t="s">
        <v>45</v>
      </c>
      <c r="E16" s="293"/>
      <c r="F16" s="293"/>
      <c r="J16" s="291"/>
      <c r="L16" s="291"/>
      <c r="M16" s="291"/>
      <c r="O16" s="292"/>
      <c r="Q16" s="292"/>
      <c r="S16" s="292"/>
      <c r="U16" s="292"/>
      <c r="W16" s="292"/>
      <c r="Y16" s="292"/>
      <c r="AG16" s="291"/>
    </row>
    <row r="17" spans="1:70" ht="15" customHeight="1" x14ac:dyDescent="0.25">
      <c r="A17" s="76"/>
      <c r="B17" s="13" t="str">
        <f>VLOOKUP(AB17,Gruppeneinteilung!$A$5:$B$20,2,0)</f>
        <v>TS Höchst</v>
      </c>
      <c r="D17" s="15" t="s">
        <v>10</v>
      </c>
      <c r="E17" s="13" t="str">
        <f>VLOOKUP(AC17,Gruppeneinteilung!$A$5:$B$20,2,0)</f>
        <v xml:space="preserve">FBV Ettenhausen </v>
      </c>
      <c r="J17" s="25">
        <v>0</v>
      </c>
      <c r="K17" s="77" t="s">
        <v>12</v>
      </c>
      <c r="L17" s="25">
        <v>2</v>
      </c>
      <c r="M17" s="78"/>
      <c r="N17" s="77" t="s">
        <v>13</v>
      </c>
      <c r="O17" s="25">
        <v>7</v>
      </c>
      <c r="P17" s="77" t="s">
        <v>12</v>
      </c>
      <c r="Q17" s="25">
        <v>11</v>
      </c>
      <c r="R17" s="77" t="s">
        <v>16</v>
      </c>
      <c r="S17" s="25">
        <v>8</v>
      </c>
      <c r="T17" s="77" t="s">
        <v>12</v>
      </c>
      <c r="U17" s="25">
        <v>11</v>
      </c>
      <c r="V17" s="77" t="s">
        <v>16</v>
      </c>
      <c r="W17" s="25"/>
      <c r="X17" s="77" t="s">
        <v>12</v>
      </c>
      <c r="Y17" s="25"/>
      <c r="Z17" s="77" t="s">
        <v>14</v>
      </c>
      <c r="AA17" s="15"/>
      <c r="AB17" s="84" t="s">
        <v>3</v>
      </c>
      <c r="AC17" s="84" t="s">
        <v>4</v>
      </c>
      <c r="AG17" s="274" t="s">
        <v>22</v>
      </c>
      <c r="AH17" s="274" t="s">
        <v>23</v>
      </c>
      <c r="AI17" s="316" t="s">
        <v>15</v>
      </c>
      <c r="AJ17" s="316"/>
      <c r="AK17" s="15" t="s">
        <v>24</v>
      </c>
    </row>
    <row r="18" spans="1:70" ht="15" customHeight="1" x14ac:dyDescent="0.25">
      <c r="A18" s="76"/>
      <c r="B18" s="13" t="str">
        <f>VLOOKUP(AB18,Gruppeneinteilung!$A$5:$B$20,2,0)</f>
        <v xml:space="preserve">FBV Ettenhausen </v>
      </c>
      <c r="D18" s="15" t="s">
        <v>10</v>
      </c>
      <c r="E18" s="13" t="str">
        <f>VLOOKUP(AC18,Gruppeneinteilung!$A$5:$B$20,2,0)</f>
        <v>FBT Flums</v>
      </c>
      <c r="J18" s="25">
        <v>2</v>
      </c>
      <c r="K18" s="77" t="s">
        <v>12</v>
      </c>
      <c r="L18" s="25">
        <v>0</v>
      </c>
      <c r="M18" s="78"/>
      <c r="N18" s="77" t="s">
        <v>13</v>
      </c>
      <c r="O18" s="25">
        <v>11</v>
      </c>
      <c r="P18" s="77" t="s">
        <v>12</v>
      </c>
      <c r="Q18" s="25">
        <v>4</v>
      </c>
      <c r="R18" s="77" t="s">
        <v>16</v>
      </c>
      <c r="S18" s="25">
        <v>14</v>
      </c>
      <c r="T18" s="77" t="s">
        <v>12</v>
      </c>
      <c r="U18" s="25">
        <v>12</v>
      </c>
      <c r="V18" s="77" t="s">
        <v>16</v>
      </c>
      <c r="W18" s="25"/>
      <c r="X18" s="77" t="s">
        <v>12</v>
      </c>
      <c r="Y18" s="25"/>
      <c r="Z18" s="77" t="s">
        <v>14</v>
      </c>
      <c r="AB18" s="84" t="s">
        <v>4</v>
      </c>
      <c r="AC18" s="84" t="s">
        <v>5</v>
      </c>
      <c r="AE18" s="15" t="s">
        <v>18</v>
      </c>
      <c r="AF18" s="13" t="str">
        <f>$AF$8</f>
        <v>FG RiWi 2</v>
      </c>
      <c r="AG18" s="7">
        <f>$AH$10</f>
        <v>2</v>
      </c>
      <c r="AH18" s="7">
        <f>$AI$10</f>
        <v>4</v>
      </c>
      <c r="AI18" s="7">
        <f>$AM$10</f>
        <v>47</v>
      </c>
      <c r="AJ18" s="7">
        <f>$AN$10</f>
        <v>34</v>
      </c>
      <c r="AK18" s="7">
        <f>$AO$10</f>
        <v>13</v>
      </c>
      <c r="AL18" s="7"/>
    </row>
    <row r="19" spans="1:70" ht="15" customHeight="1" x14ac:dyDescent="0.25">
      <c r="A19" s="76"/>
      <c r="B19" s="13" t="str">
        <f>VLOOKUP(AB19,Gruppeneinteilung!$A$5:$B$20,2,0)</f>
        <v>TS Höchst</v>
      </c>
      <c r="D19" s="15" t="s">
        <v>10</v>
      </c>
      <c r="E19" s="13" t="str">
        <f>VLOOKUP(AC19,Gruppeneinteilung!$A$5:$B$20,2,0)</f>
        <v>FBT Flums</v>
      </c>
      <c r="J19" s="25">
        <v>2</v>
      </c>
      <c r="K19" s="77" t="s">
        <v>12</v>
      </c>
      <c r="L19" s="25">
        <v>1</v>
      </c>
      <c r="M19" s="78"/>
      <c r="N19" s="77" t="s">
        <v>13</v>
      </c>
      <c r="O19" s="25">
        <v>11</v>
      </c>
      <c r="P19" s="77" t="s">
        <v>12</v>
      </c>
      <c r="Q19" s="25">
        <v>9</v>
      </c>
      <c r="R19" s="77" t="s">
        <v>16</v>
      </c>
      <c r="S19" s="25">
        <v>8</v>
      </c>
      <c r="T19" s="77" t="s">
        <v>12</v>
      </c>
      <c r="U19" s="25">
        <v>11</v>
      </c>
      <c r="V19" s="77" t="s">
        <v>16</v>
      </c>
      <c r="W19" s="25">
        <v>8</v>
      </c>
      <c r="X19" s="77" t="s">
        <v>12</v>
      </c>
      <c r="Y19" s="25">
        <v>11</v>
      </c>
      <c r="Z19" s="77" t="s">
        <v>14</v>
      </c>
      <c r="AB19" s="84" t="s">
        <v>3</v>
      </c>
      <c r="AC19" s="84" t="s">
        <v>5</v>
      </c>
      <c r="AE19" s="15" t="s">
        <v>19</v>
      </c>
      <c r="AF19" s="13" t="str">
        <f>$AF$5</f>
        <v>STV Affeltrangen</v>
      </c>
      <c r="AG19" s="7">
        <f>$AH$7</f>
        <v>2</v>
      </c>
      <c r="AH19" s="7">
        <f>$AI$7</f>
        <v>2</v>
      </c>
      <c r="AI19" s="7">
        <f>$AM$7</f>
        <v>50</v>
      </c>
      <c r="AJ19" s="7">
        <f>$AN$7</f>
        <v>58</v>
      </c>
      <c r="AK19" s="7">
        <f>$AO$7</f>
        <v>-8</v>
      </c>
      <c r="AL19" s="7"/>
    </row>
    <row r="20" spans="1:70" ht="15" customHeight="1" x14ac:dyDescent="0.25">
      <c r="A20" s="76"/>
      <c r="AE20" s="15" t="s">
        <v>20</v>
      </c>
      <c r="AF20" s="13" t="str">
        <f>$AF$11</f>
        <v>SVD Diepoldsau</v>
      </c>
      <c r="AG20" s="7">
        <f>$AH$13</f>
        <v>2</v>
      </c>
      <c r="AH20" s="7">
        <f>$AI$13</f>
        <v>0</v>
      </c>
      <c r="AI20" s="7">
        <f>$AM$13</f>
        <v>53</v>
      </c>
      <c r="AJ20" s="7">
        <f>$AN$13</f>
        <v>58</v>
      </c>
      <c r="AK20" s="7">
        <f>$AO$13</f>
        <v>-5</v>
      </c>
      <c r="AL20" s="7"/>
    </row>
    <row r="21" spans="1:70" ht="21.75" customHeight="1" x14ac:dyDescent="0.25">
      <c r="A21" s="75" t="s">
        <v>47</v>
      </c>
      <c r="E21" s="273" t="str">
        <f t="shared" ref="E21:E24" si="27">AG36</f>
        <v>Sp.</v>
      </c>
      <c r="F21" s="273" t="str">
        <f t="shared" ref="F21:F24" si="28">AH36</f>
        <v>Pkte.</v>
      </c>
      <c r="G21" s="316" t="str">
        <f t="shared" ref="G21:G24" si="29">AI36</f>
        <v>Bälle</v>
      </c>
      <c r="H21" s="316"/>
      <c r="I21" s="316"/>
    </row>
    <row r="22" spans="1:70" ht="15" customHeight="1" thickBot="1" x14ac:dyDescent="0.3">
      <c r="A22" s="76"/>
      <c r="B22" s="15" t="s">
        <v>18</v>
      </c>
      <c r="C22" s="13" t="str">
        <f>AF37</f>
        <v xml:space="preserve">FBV Ettenhausen </v>
      </c>
      <c r="E22" s="7">
        <f t="shared" si="27"/>
        <v>2</v>
      </c>
      <c r="F22" s="7">
        <f t="shared" si="28"/>
        <v>4</v>
      </c>
      <c r="G22" s="13">
        <f t="shared" si="29"/>
        <v>47</v>
      </c>
      <c r="H22" s="15" t="s">
        <v>12</v>
      </c>
      <c r="I22" s="14">
        <f t="shared" ref="I22:I24" si="30">AJ37</f>
        <v>31</v>
      </c>
      <c r="AD22" s="15"/>
    </row>
    <row r="23" spans="1:70" ht="15" customHeight="1" thickBot="1" x14ac:dyDescent="0.3">
      <c r="A23" s="76"/>
      <c r="B23" s="15" t="s">
        <v>19</v>
      </c>
      <c r="C23" s="13" t="str">
        <f t="shared" ref="C23:C24" si="31">AF38</f>
        <v>FBT Flums</v>
      </c>
      <c r="E23" s="7">
        <f t="shared" si="27"/>
        <v>2</v>
      </c>
      <c r="F23" s="7">
        <f t="shared" si="28"/>
        <v>2</v>
      </c>
      <c r="G23" s="13">
        <f t="shared" si="29"/>
        <v>47</v>
      </c>
      <c r="H23" s="15" t="s">
        <v>12</v>
      </c>
      <c r="I23" s="14">
        <f t="shared" si="30"/>
        <v>52</v>
      </c>
      <c r="AA23" s="317" t="str">
        <f>IF(BR27=0, "DIREKTE BEGEGNUNG", "")</f>
        <v/>
      </c>
      <c r="AH23" s="70" t="s">
        <v>29</v>
      </c>
      <c r="AI23" s="71" t="s">
        <v>30</v>
      </c>
      <c r="AJ23" s="71" t="s">
        <v>31</v>
      </c>
      <c r="AK23" s="71" t="s">
        <v>32</v>
      </c>
      <c r="AL23" s="72" t="s">
        <v>33</v>
      </c>
      <c r="AM23" s="71" t="s">
        <v>34</v>
      </c>
      <c r="AN23" s="71" t="s">
        <v>35</v>
      </c>
      <c r="AO23" s="73" t="s">
        <v>36</v>
      </c>
    </row>
    <row r="24" spans="1:70" ht="15" customHeight="1" x14ac:dyDescent="0.25">
      <c r="A24" s="76"/>
      <c r="B24" s="15" t="s">
        <v>20</v>
      </c>
      <c r="C24" s="13" t="str">
        <f t="shared" si="31"/>
        <v>TS Höchst</v>
      </c>
      <c r="E24" s="7">
        <f t="shared" si="27"/>
        <v>2</v>
      </c>
      <c r="F24" s="7">
        <f t="shared" si="28"/>
        <v>0</v>
      </c>
      <c r="G24" s="13">
        <f t="shared" si="29"/>
        <v>42</v>
      </c>
      <c r="H24" s="15" t="s">
        <v>12</v>
      </c>
      <c r="I24" s="14">
        <f t="shared" si="30"/>
        <v>53</v>
      </c>
      <c r="AA24" s="317"/>
      <c r="AE24" s="275" t="s">
        <v>3</v>
      </c>
      <c r="AF24" s="276" t="str">
        <f>VLOOKUP(AE24,Gruppeneinteilung!$A$5:$B$20,2,0)</f>
        <v>TS Höchst</v>
      </c>
      <c r="AG24" s="8">
        <v>1</v>
      </c>
      <c r="AH24" s="47">
        <f>IF(OR(AQ24&gt;0,AR24&gt;0),1,0)</f>
        <v>1</v>
      </c>
      <c r="AI24" s="47">
        <f>((AQ24&gt;AR24)*1+(AS24&gt;AT24)*1+(AU24&gt;AV24)*1+(AW24&gt;AX24)*1+(AY24&gt;AZ24)*1&gt;1.99)*2+((BB24&gt;BC24)*1+(BD24&gt;BE24)*1+(BF24&gt;BG24)*1+(BH24&gt;BI24)*1+(BJ24&gt;BK24)*1&gt;1.99)*2</f>
        <v>0</v>
      </c>
      <c r="AJ24" s="47">
        <f>IF(AQ24&gt;AR24,1,0)+IF(AS24&gt;AT24,1,0)+IF(AU24&gt;AV24,1,0)+IF(AW24&gt;AX24,1,0)+IF(AY24&gt;AZ24,1,0)+IF(BB24&gt;BC24,1,0)+IF(BD24&gt;BE24,1,0)+IF(BF24&gt;BG24,1,0)+IF(BH24&gt;BI24,1,0)+IF(BJ24&gt;BK24,1,0)</f>
        <v>0</v>
      </c>
      <c r="AK24" s="47">
        <f>IF(AQ24&lt;AR24,1,0)+IF(AS24&lt;AT24,1,0)+IF(AU24&lt;AV24,1,0)+IF(AW24&lt;AX24,1,0)+IF(AY24&lt;AZ24,1,0)+IF(BB24&lt;BC24,1,0)+IF(BD24&lt;BE24,1,0)+IF(BF24&lt;BG24,1,0)+IF(BH24&lt;BI24,1,0)+IF(BJ24&lt;BK24,1,0)</f>
        <v>2</v>
      </c>
      <c r="AL24" s="47">
        <f>AJ24-AK24</f>
        <v>-2</v>
      </c>
      <c r="AM24" s="47">
        <f t="shared" ref="AM24:AM25" si="32">AQ24+AS24+AU24+BB24+BD24+BF24</f>
        <v>15</v>
      </c>
      <c r="AN24" s="47">
        <f t="shared" ref="AN24:AN25" si="33">AR24+AT24+AV24+BC24+BE24+BG24</f>
        <v>22</v>
      </c>
      <c r="AO24" s="47">
        <f>AM24-AN24</f>
        <v>-7</v>
      </c>
      <c r="AP24" s="60"/>
      <c r="AQ24" s="61">
        <f>O17</f>
        <v>7</v>
      </c>
      <c r="AR24" s="62">
        <f>Q17</f>
        <v>11</v>
      </c>
      <c r="AS24" s="62">
        <f>S17</f>
        <v>8</v>
      </c>
      <c r="AT24" s="62">
        <f>U17</f>
        <v>11</v>
      </c>
      <c r="AU24" s="62">
        <f>W17</f>
        <v>0</v>
      </c>
      <c r="AV24" s="62">
        <f>Y17</f>
        <v>0</v>
      </c>
      <c r="AW24" s="62"/>
      <c r="AX24" s="62"/>
      <c r="AY24" s="63"/>
      <c r="AZ24" s="64"/>
      <c r="BA24" s="60"/>
      <c r="BB24" s="61"/>
      <c r="BC24" s="62"/>
      <c r="BD24" s="62"/>
      <c r="BE24" s="62"/>
      <c r="BF24" s="62"/>
      <c r="BG24" s="62"/>
      <c r="BH24" s="62"/>
      <c r="BI24" s="62"/>
      <c r="BJ24" s="63"/>
      <c r="BK24" s="65"/>
    </row>
    <row r="25" spans="1:70" ht="15" customHeight="1" x14ac:dyDescent="0.25">
      <c r="I25" s="14"/>
      <c r="AD25" s="15"/>
      <c r="AE25" s="294"/>
      <c r="AF25" s="295"/>
      <c r="AG25" s="9">
        <v>2</v>
      </c>
      <c r="AH25" s="47">
        <f>IF(OR(AQ25&gt;0,AR25&gt;0),1,0)</f>
        <v>1</v>
      </c>
      <c r="AI25" s="26">
        <f>((AQ25&gt;AR25)*1+(AS25&gt;AT25)*1+(AU25&gt;AV25)*1+(AW25&gt;AX25)*1+(AY25&gt;AZ25)*1&gt;1.99)*2+((BB25&gt;BC25)*1+(BD25&gt;BE25)*1+(BF25&gt;BG25)*1+(BH25&gt;BI25)*1+(BJ25&gt;BK25)*1&gt;1.99)*2</f>
        <v>0</v>
      </c>
      <c r="AJ25" s="26">
        <f t="shared" ref="AJ25" si="34">IF(AQ25&gt;AR25,1,0)+IF(AS25&gt;AT25,1,0)+IF(AU25&gt;AV25,1,0)+IF(AW25&gt;AX25,1,0)+IF(AY25&gt;AZ25,1,0)+IF(BB25&gt;BC25,1,0)+IF(BD25&gt;BE25,1,0)+IF(BF25&gt;BG25,1,0)+IF(BH25&gt;BI25,1,0)+IF(BJ25&gt;BK25,1,0)</f>
        <v>1</v>
      </c>
      <c r="AK25" s="26">
        <f t="shared" ref="AK25" si="35">IF(AQ25&lt;AR25,1,0)+IF(AS25&lt;AT25,1,0)+IF(AU25&lt;AV25,1,0)+IF(AW25&lt;AX25,1,0)+IF(AY25&lt;AZ25,1,0)+IF(BB25&lt;BC25,1,0)+IF(BD25&lt;BE25,1,0)+IF(BF25&lt;BG25,1,0)+IF(BH25&lt;BI25,1,0)+IF(BJ25&lt;BK25,1,0)</f>
        <v>2</v>
      </c>
      <c r="AL25" s="26">
        <f>AJ25-AK25</f>
        <v>-1</v>
      </c>
      <c r="AM25" s="26">
        <f t="shared" si="32"/>
        <v>27</v>
      </c>
      <c r="AN25" s="26">
        <f t="shared" si="33"/>
        <v>31</v>
      </c>
      <c r="AO25" s="26">
        <f>AM25-AN25</f>
        <v>-4</v>
      </c>
      <c r="AP25" s="27"/>
      <c r="AQ25" s="28">
        <f>O19</f>
        <v>11</v>
      </c>
      <c r="AR25" s="29">
        <f>Q19</f>
        <v>9</v>
      </c>
      <c r="AS25" s="29">
        <f>S19</f>
        <v>8</v>
      </c>
      <c r="AT25" s="29">
        <f>U19</f>
        <v>11</v>
      </c>
      <c r="AU25" s="29">
        <f>W19</f>
        <v>8</v>
      </c>
      <c r="AV25" s="29">
        <f>Y19</f>
        <v>11</v>
      </c>
      <c r="AW25" s="29"/>
      <c r="AX25" s="29"/>
      <c r="AY25" s="30"/>
      <c r="AZ25" s="31"/>
      <c r="BA25" s="27"/>
      <c r="BB25" s="28"/>
      <c r="BC25" s="29"/>
      <c r="BD25" s="29"/>
      <c r="BE25" s="29"/>
      <c r="BF25" s="29"/>
      <c r="BG25" s="29"/>
      <c r="BH25" s="29"/>
      <c r="BI25" s="29"/>
      <c r="BJ25" s="30"/>
      <c r="BK25" s="32"/>
      <c r="BM25" s="13" t="s">
        <v>95</v>
      </c>
    </row>
    <row r="26" spans="1:70" ht="15" customHeight="1" thickBot="1" x14ac:dyDescent="0.3">
      <c r="A26" s="66"/>
      <c r="E26" s="274"/>
      <c r="F26" s="274"/>
      <c r="AE26" s="277"/>
      <c r="AF26" s="278"/>
      <c r="AG26" s="10"/>
      <c r="AH26" s="39">
        <f t="shared" ref="AH26:AO26" si="36">SUM(AH24:AH25)</f>
        <v>2</v>
      </c>
      <c r="AI26" s="39">
        <f t="shared" si="36"/>
        <v>0</v>
      </c>
      <c r="AJ26" s="39">
        <f t="shared" si="36"/>
        <v>1</v>
      </c>
      <c r="AK26" s="39">
        <f t="shared" si="36"/>
        <v>4</v>
      </c>
      <c r="AL26" s="39">
        <f t="shared" si="36"/>
        <v>-3</v>
      </c>
      <c r="AM26" s="39">
        <f t="shared" si="36"/>
        <v>42</v>
      </c>
      <c r="AN26" s="39">
        <f t="shared" si="36"/>
        <v>53</v>
      </c>
      <c r="AO26" s="39">
        <f t="shared" si="36"/>
        <v>-11</v>
      </c>
      <c r="AP26" s="40"/>
      <c r="AQ26" s="41"/>
      <c r="AR26" s="42"/>
      <c r="AS26" s="42"/>
      <c r="AT26" s="42"/>
      <c r="AU26" s="42"/>
      <c r="AV26" s="42"/>
      <c r="AW26" s="42"/>
      <c r="AX26" s="42"/>
      <c r="AY26" s="43"/>
      <c r="AZ26" s="44"/>
      <c r="BA26" s="40"/>
      <c r="BB26" s="41"/>
      <c r="BC26" s="42"/>
      <c r="BD26" s="42"/>
      <c r="BE26" s="42"/>
      <c r="BF26" s="42"/>
      <c r="BG26" s="42"/>
      <c r="BH26" s="42"/>
      <c r="BI26" s="42"/>
      <c r="BJ26" s="43"/>
      <c r="BK26" s="45"/>
    </row>
    <row r="27" spans="1:70" s="279" customFormat="1" ht="21.75" customHeight="1" x14ac:dyDescent="0.25">
      <c r="A27" s="75" t="s">
        <v>45</v>
      </c>
      <c r="B27" s="13"/>
      <c r="C27" s="13"/>
      <c r="D27" s="13"/>
      <c r="E27" s="13"/>
      <c r="F27" s="13"/>
      <c r="G27" s="13"/>
      <c r="H27" s="13"/>
      <c r="I27" s="13"/>
      <c r="J27" s="7"/>
      <c r="K27" s="13"/>
      <c r="L27" s="7"/>
      <c r="M27" s="7"/>
      <c r="N27" s="13"/>
      <c r="O27" s="14"/>
      <c r="P27" s="13"/>
      <c r="Q27" s="14"/>
      <c r="R27" s="13"/>
      <c r="S27" s="14"/>
      <c r="T27" s="13"/>
      <c r="U27" s="14"/>
      <c r="V27" s="13"/>
      <c r="W27" s="14"/>
      <c r="X27" s="13"/>
      <c r="Y27" s="14"/>
      <c r="Z27" s="13"/>
      <c r="AA27" s="13"/>
      <c r="AB27" s="13"/>
      <c r="AC27" s="13"/>
      <c r="AD27" s="13"/>
      <c r="AE27" s="281" t="s">
        <v>4</v>
      </c>
      <c r="AF27" s="282" t="str">
        <f>VLOOKUP(AE27,Gruppeneinteilung!$A$5:$B$20,2,0)</f>
        <v xml:space="preserve">FBV Ettenhausen </v>
      </c>
      <c r="AG27" s="283">
        <v>1</v>
      </c>
      <c r="AH27" s="280">
        <f>IF(OR(AQ27&gt;0,AR27&gt;0),1,0)</f>
        <v>1</v>
      </c>
      <c r="AI27" s="284">
        <f>((AQ27&gt;AR27)*1+(AS27&gt;AT27)*1+(AU27&gt;AV27)*1+(AW27&gt;AX27)*1+(AY27&gt;AZ27)*1&gt;1.99)*2+((BB27&gt;BC27)*1+(BD27&gt;BE27)*1+(BF27&gt;BG27)*1+(BH27&gt;BI27)*1+(BJ27&gt;BK27)*1&gt;1.99)*2</f>
        <v>2</v>
      </c>
      <c r="AJ27" s="284">
        <f>IF(AQ27&gt;AR27,1,0)+IF(AS27&gt;AT27,1,0)+IF(AU27&gt;AV27,1,0)+IF(AW27&gt;AX27,1,0)+IF(AY27&gt;AZ27,1,0)+IF(BB27&gt;BC27,1,0)+IF(BD27&gt;BE27,1,0)+IF(BF27&gt;BG27,1,0)+IF(BH27&gt;BI27,1,0)+IF(BJ27&gt;BK27,1,0)</f>
        <v>2</v>
      </c>
      <c r="AK27" s="284">
        <f>IF(AQ27&lt;AR27,1,0)+IF(AS27&lt;AT27,1,0)+IF(AU27&lt;AV27,1,0)+IF(AW27&lt;AX27,1,0)+IF(AY27&lt;AZ27,1,0)+IF(BB27&lt;BC27,1,0)+IF(BD27&lt;BE27,1,0)+IF(BF27&lt;BG27,1,0)+IF(BH27&lt;BI27,1,0)+IF(BJ27&lt;BK27,1,0)</f>
        <v>0</v>
      </c>
      <c r="AL27" s="280">
        <f>AJ27-AK27</f>
        <v>2</v>
      </c>
      <c r="AM27" s="284">
        <f t="shared" ref="AM27:AM28" si="37">AQ27+AS27+AU27+BB27+BD27+BF27</f>
        <v>22</v>
      </c>
      <c r="AN27" s="284">
        <f t="shared" ref="AN27:AN28" si="38">AR27+AT27+AV27+BC27+BE27+BG27</f>
        <v>15</v>
      </c>
      <c r="AO27" s="280">
        <f>AM27-AN27</f>
        <v>7</v>
      </c>
      <c r="AP27" s="285"/>
      <c r="AQ27" s="286">
        <f>Q17</f>
        <v>11</v>
      </c>
      <c r="AR27" s="287">
        <f>O17</f>
        <v>7</v>
      </c>
      <c r="AS27" s="287">
        <f>U17</f>
        <v>11</v>
      </c>
      <c r="AT27" s="287">
        <f>S17</f>
        <v>8</v>
      </c>
      <c r="AU27" s="287">
        <f>Y17</f>
        <v>0</v>
      </c>
      <c r="AV27" s="287">
        <f>W17</f>
        <v>0</v>
      </c>
      <c r="AW27" s="287"/>
      <c r="AX27" s="287"/>
      <c r="AY27" s="288"/>
      <c r="AZ27" s="289"/>
      <c r="BA27" s="285"/>
      <c r="BB27" s="286"/>
      <c r="BC27" s="287"/>
      <c r="BD27" s="287"/>
      <c r="BE27" s="287"/>
      <c r="BF27" s="287"/>
      <c r="BG27" s="287"/>
      <c r="BH27" s="287"/>
      <c r="BI27" s="287"/>
      <c r="BJ27" s="288"/>
      <c r="BK27" s="290"/>
      <c r="BM27" s="279">
        <f>$F$11-$F$12</f>
        <v>2</v>
      </c>
      <c r="BN27" s="279">
        <f>$F$12-$F$13</f>
        <v>2</v>
      </c>
      <c r="BR27" s="13">
        <f>MIN(BM27:BQ27)</f>
        <v>2</v>
      </c>
    </row>
    <row r="28" spans="1:70" ht="15" customHeight="1" x14ac:dyDescent="0.25">
      <c r="A28" s="76"/>
      <c r="B28" s="13" t="str">
        <f>VLOOKUP(AB28,Gruppeneinteilung!$A$5:$B$20,2,0)</f>
        <v>FG RiWi 1</v>
      </c>
      <c r="D28" s="15" t="s">
        <v>10</v>
      </c>
      <c r="E28" s="13" t="str">
        <f>VLOOKUP(AC28,Gruppeneinteilung!$A$5:$B$20,2,0)</f>
        <v>TS Schwarzach</v>
      </c>
      <c r="J28" s="25">
        <v>2</v>
      </c>
      <c r="K28" s="77" t="s">
        <v>12</v>
      </c>
      <c r="L28" s="25">
        <v>0</v>
      </c>
      <c r="M28" s="78"/>
      <c r="N28" s="77" t="s">
        <v>13</v>
      </c>
      <c r="O28" s="25">
        <v>11</v>
      </c>
      <c r="P28" s="77" t="s">
        <v>12</v>
      </c>
      <c r="Q28" s="25">
        <v>6</v>
      </c>
      <c r="R28" s="77" t="s">
        <v>16</v>
      </c>
      <c r="S28" s="25">
        <v>11</v>
      </c>
      <c r="T28" s="77" t="s">
        <v>12</v>
      </c>
      <c r="U28" s="25">
        <v>4</v>
      </c>
      <c r="V28" s="77" t="s">
        <v>16</v>
      </c>
      <c r="W28" s="25"/>
      <c r="X28" s="77" t="s">
        <v>12</v>
      </c>
      <c r="Y28" s="25"/>
      <c r="Z28" s="77" t="s">
        <v>14</v>
      </c>
      <c r="AA28" s="15"/>
      <c r="AB28" s="84" t="s">
        <v>103</v>
      </c>
      <c r="AC28" s="84" t="s">
        <v>104</v>
      </c>
      <c r="AE28" s="294"/>
      <c r="AF28" s="295"/>
      <c r="AG28" s="9">
        <v>3</v>
      </c>
      <c r="AH28" s="47">
        <f>IF(OR(AQ28&gt;0,AR28&gt;0),1,0)</f>
        <v>1</v>
      </c>
      <c r="AI28" s="26">
        <f>((AQ28&gt;AR28)*1+(AS28&gt;AT28)*1+(AU28&gt;AV28)*1+(AW28&gt;AX28)*1+(AY28&gt;AZ28)*1&gt;1.99)*2+((BB28&gt;BC28)*1+(BD28&gt;BE28)*1+(BF28&gt;BG28)*1+(BH28&gt;BI28)*1+(BJ28&gt;BK28)*1&gt;1.99)*2</f>
        <v>2</v>
      </c>
      <c r="AJ28" s="26">
        <f t="shared" ref="AJ28" si="39">IF(AQ28&gt;AR28,1,0)+IF(AS28&gt;AT28,1,0)+IF(AU28&gt;AV28,1,0)+IF(AW28&gt;AX28,1,0)+IF(AY28&gt;AZ28,1,0)+IF(BB28&gt;BC28,1,0)+IF(BD28&gt;BE28,1,0)+IF(BF28&gt;BG28,1,0)+IF(BH28&gt;BI28,1,0)+IF(BJ28&gt;BK28,1,0)</f>
        <v>2</v>
      </c>
      <c r="AK28" s="26">
        <f t="shared" ref="AK28" si="40">IF(AQ28&lt;AR28,1,0)+IF(AS28&lt;AT28,1,0)+IF(AU28&lt;AV28,1,0)+IF(AW28&lt;AX28,1,0)+IF(AY28&lt;AZ28,1,0)+IF(BB28&lt;BC28,1,0)+IF(BD28&lt;BE28,1,0)+IF(BF28&lt;BG28,1,0)+IF(BH28&lt;BI28,1,0)+IF(BJ28&lt;BK28,1,0)</f>
        <v>0</v>
      </c>
      <c r="AL28" s="26">
        <f>AJ28-AK28</f>
        <v>2</v>
      </c>
      <c r="AM28" s="26">
        <f t="shared" si="37"/>
        <v>25</v>
      </c>
      <c r="AN28" s="26">
        <f t="shared" si="38"/>
        <v>16</v>
      </c>
      <c r="AO28" s="26">
        <f>AM28-AN28</f>
        <v>9</v>
      </c>
      <c r="AP28" s="33"/>
      <c r="AQ28" s="34">
        <f>O18</f>
        <v>11</v>
      </c>
      <c r="AR28" s="35">
        <f>Q18</f>
        <v>4</v>
      </c>
      <c r="AS28" s="35">
        <f>S18</f>
        <v>14</v>
      </c>
      <c r="AT28" s="35">
        <f>U18</f>
        <v>12</v>
      </c>
      <c r="AU28" s="35">
        <f>W18</f>
        <v>0</v>
      </c>
      <c r="AV28" s="35">
        <f>Y18</f>
        <v>0</v>
      </c>
      <c r="AW28" s="35"/>
      <c r="AX28" s="35"/>
      <c r="AY28" s="36"/>
      <c r="AZ28" s="37"/>
      <c r="BA28" s="33"/>
      <c r="BB28" s="34"/>
      <c r="BC28" s="35"/>
      <c r="BD28" s="35"/>
      <c r="BE28" s="35"/>
      <c r="BF28" s="35"/>
      <c r="BG28" s="35"/>
      <c r="BH28" s="35"/>
      <c r="BI28" s="35"/>
      <c r="BJ28" s="36"/>
      <c r="BK28" s="38"/>
    </row>
    <row r="29" spans="1:70" ht="15" customHeight="1" thickBot="1" x14ac:dyDescent="0.3">
      <c r="A29" s="76"/>
      <c r="B29" s="13" t="str">
        <f>VLOOKUP(AB29,Gruppeneinteilung!$A$5:$B$20,2,0)</f>
        <v>STV Wigoltingen</v>
      </c>
      <c r="D29" s="15" t="s">
        <v>10</v>
      </c>
      <c r="E29" s="13" t="str">
        <f>VLOOKUP(AC29,Gruppeneinteilung!$A$5:$B$20,2,0)</f>
        <v>Satus Kreuzlingen</v>
      </c>
      <c r="J29" s="25">
        <v>2</v>
      </c>
      <c r="K29" s="77" t="s">
        <v>12</v>
      </c>
      <c r="L29" s="25">
        <v>0</v>
      </c>
      <c r="M29" s="78"/>
      <c r="N29" s="77" t="s">
        <v>13</v>
      </c>
      <c r="O29" s="25">
        <v>11</v>
      </c>
      <c r="P29" s="77" t="s">
        <v>12</v>
      </c>
      <c r="Q29" s="25">
        <v>7</v>
      </c>
      <c r="R29" s="77" t="s">
        <v>16</v>
      </c>
      <c r="S29" s="25">
        <v>14</v>
      </c>
      <c r="T29" s="77" t="s">
        <v>12</v>
      </c>
      <c r="U29" s="25">
        <v>12</v>
      </c>
      <c r="V29" s="77" t="s">
        <v>16</v>
      </c>
      <c r="W29" s="25"/>
      <c r="X29" s="77" t="s">
        <v>12</v>
      </c>
      <c r="Y29" s="25"/>
      <c r="Z29" s="77" t="s">
        <v>14</v>
      </c>
      <c r="AB29" s="84" t="s">
        <v>105</v>
      </c>
      <c r="AC29" s="84" t="s">
        <v>106</v>
      </c>
      <c r="AE29" s="277"/>
      <c r="AF29" s="278"/>
      <c r="AG29" s="10"/>
      <c r="AH29" s="39">
        <f t="shared" ref="AH29:AO29" si="41">SUM(AH27:AH28)</f>
        <v>2</v>
      </c>
      <c r="AI29" s="39">
        <f t="shared" si="41"/>
        <v>4</v>
      </c>
      <c r="AJ29" s="39">
        <f t="shared" si="41"/>
        <v>4</v>
      </c>
      <c r="AK29" s="39">
        <f t="shared" si="41"/>
        <v>0</v>
      </c>
      <c r="AL29" s="39">
        <f t="shared" si="41"/>
        <v>4</v>
      </c>
      <c r="AM29" s="39">
        <f t="shared" si="41"/>
        <v>47</v>
      </c>
      <c r="AN29" s="39">
        <f t="shared" si="41"/>
        <v>31</v>
      </c>
      <c r="AO29" s="39">
        <f t="shared" si="41"/>
        <v>16</v>
      </c>
      <c r="AP29" s="40"/>
      <c r="AQ29" s="41"/>
      <c r="AR29" s="42"/>
      <c r="AS29" s="42"/>
      <c r="AT29" s="42"/>
      <c r="AU29" s="42"/>
      <c r="AV29" s="42"/>
      <c r="AW29" s="42"/>
      <c r="AX29" s="42"/>
      <c r="AY29" s="43"/>
      <c r="AZ29" s="44"/>
      <c r="BA29" s="40"/>
      <c r="BB29" s="41"/>
      <c r="BC29" s="42"/>
      <c r="BD29" s="42"/>
      <c r="BE29" s="42"/>
      <c r="BF29" s="42"/>
      <c r="BG29" s="42"/>
      <c r="BH29" s="42"/>
      <c r="BI29" s="42"/>
      <c r="BJ29" s="43"/>
      <c r="BK29" s="45"/>
    </row>
    <row r="30" spans="1:70" ht="15" customHeight="1" x14ac:dyDescent="0.25">
      <c r="A30" s="76"/>
      <c r="B30" s="13" t="str">
        <f>VLOOKUP(AB30,Gruppeneinteilung!$A$5:$B$20,2,0)</f>
        <v>FG RiWi 1</v>
      </c>
      <c r="D30" s="15" t="s">
        <v>10</v>
      </c>
      <c r="E30" s="13" t="str">
        <f>VLOOKUP(AC30,Gruppeneinteilung!$A$5:$B$20,2,0)</f>
        <v>JFB Widnau</v>
      </c>
      <c r="J30" s="25">
        <v>2</v>
      </c>
      <c r="K30" s="77" t="s">
        <v>12</v>
      </c>
      <c r="L30" s="25">
        <v>0</v>
      </c>
      <c r="M30" s="78"/>
      <c r="N30" s="77" t="s">
        <v>13</v>
      </c>
      <c r="O30" s="25">
        <v>11</v>
      </c>
      <c r="P30" s="77" t="s">
        <v>12</v>
      </c>
      <c r="Q30" s="25">
        <v>6</v>
      </c>
      <c r="R30" s="77" t="s">
        <v>16</v>
      </c>
      <c r="S30" s="25">
        <v>11</v>
      </c>
      <c r="T30" s="77" t="s">
        <v>12</v>
      </c>
      <c r="U30" s="25">
        <v>9</v>
      </c>
      <c r="V30" s="77" t="s">
        <v>16</v>
      </c>
      <c r="W30" s="25"/>
      <c r="X30" s="77" t="s">
        <v>12</v>
      </c>
      <c r="Y30" s="25"/>
      <c r="Z30" s="77" t="s">
        <v>14</v>
      </c>
      <c r="AB30" s="84" t="s">
        <v>103</v>
      </c>
      <c r="AC30" s="84" t="s">
        <v>107</v>
      </c>
      <c r="AE30" s="296" t="s">
        <v>5</v>
      </c>
      <c r="AF30" s="297" t="str">
        <f>VLOOKUP(AE30,Gruppeneinteilung!$A$5:$B$20,2,0)</f>
        <v>FBT Flums</v>
      </c>
      <c r="AG30" s="9">
        <v>1</v>
      </c>
      <c r="AH30" s="47">
        <f>IF(OR(AQ30&gt;0,AR30&gt;0),1,0)</f>
        <v>1</v>
      </c>
      <c r="AI30" s="26">
        <f>((AQ30&gt;AR30)*1+(AS30&gt;AT30)*1+(AU30&gt;AV30)*1+(AW30&gt;AX30)*1+(AY30&gt;AZ30)*1&gt;1.99)*2+((BB30&gt;BC30)*1+(BD30&gt;BE30)*1+(BF30&gt;BG30)*1+(BH30&gt;BI30)*1+(BJ30&gt;BK30)*1&gt;1.99)*2</f>
        <v>2</v>
      </c>
      <c r="AJ30" s="26">
        <f t="shared" ref="AJ30:AJ31" si="42">IF(AQ30&gt;AR30,1,0)+IF(AS30&gt;AT30,1,0)+IF(AU30&gt;AV30,1,0)+IF(AW30&gt;AX30,1,0)+IF(AY30&gt;AZ30,1,0)+IF(BB30&gt;BC30,1,0)+IF(BD30&gt;BE30,1,0)+IF(BF30&gt;BG30,1,0)+IF(BH30&gt;BI30,1,0)+IF(BJ30&gt;BK30,1,0)</f>
        <v>2</v>
      </c>
      <c r="AK30" s="26">
        <f t="shared" ref="AK30:AK31" si="43">IF(AQ30&lt;AR30,1,0)+IF(AS30&lt;AT30,1,0)+IF(AU30&lt;AV30,1,0)+IF(AW30&lt;AX30,1,0)+IF(AY30&lt;AZ30,1,0)+IF(BB30&lt;BC30,1,0)+IF(BD30&lt;BE30,1,0)+IF(BF30&lt;BG30,1,0)+IF(BH30&lt;BI30,1,0)+IF(BJ30&lt;BK30,1,0)</f>
        <v>1</v>
      </c>
      <c r="AL30" s="26">
        <f>AJ30-AK30</f>
        <v>1</v>
      </c>
      <c r="AM30" s="26">
        <f t="shared" ref="AM30:AM31" si="44">AQ30+AS30+AU30+BB30+BD30+BF30</f>
        <v>31</v>
      </c>
      <c r="AN30" s="26">
        <f t="shared" ref="AN30:AN31" si="45">AR30+AT30+AV30+BC30+BE30+BG30</f>
        <v>27</v>
      </c>
      <c r="AO30" s="26">
        <f>AM30-AN30</f>
        <v>4</v>
      </c>
      <c r="AP30" s="27"/>
      <c r="AQ30" s="28">
        <f>Q19</f>
        <v>9</v>
      </c>
      <c r="AR30" s="29">
        <f>O19</f>
        <v>11</v>
      </c>
      <c r="AS30" s="29">
        <f>U19</f>
        <v>11</v>
      </c>
      <c r="AT30" s="29">
        <f>S19</f>
        <v>8</v>
      </c>
      <c r="AU30" s="29">
        <f>Y19</f>
        <v>11</v>
      </c>
      <c r="AV30" s="29">
        <f>W19</f>
        <v>8</v>
      </c>
      <c r="AW30" s="29"/>
      <c r="AX30" s="29"/>
      <c r="AY30" s="30"/>
      <c r="AZ30" s="31"/>
      <c r="BA30" s="27"/>
      <c r="BB30" s="28"/>
      <c r="BC30" s="29"/>
      <c r="BD30" s="29"/>
      <c r="BE30" s="29"/>
      <c r="BF30" s="29"/>
      <c r="BG30" s="29"/>
      <c r="BH30" s="29"/>
      <c r="BI30" s="29"/>
      <c r="BJ30" s="30"/>
      <c r="BK30" s="32"/>
    </row>
    <row r="31" spans="1:70" ht="15" customHeight="1" x14ac:dyDescent="0.25">
      <c r="A31" s="76"/>
      <c r="B31" s="13" t="str">
        <f>VLOOKUP(AB31,Gruppeneinteilung!$A$5:$B$20,2,0)</f>
        <v>TS Schwarzach</v>
      </c>
      <c r="D31" s="15" t="s">
        <v>10</v>
      </c>
      <c r="E31" s="13" t="str">
        <f>VLOOKUP(AC31,Gruppeneinteilung!$A$5:$B$20,2,0)</f>
        <v>STV Wigoltingen</v>
      </c>
      <c r="J31" s="25">
        <v>0</v>
      </c>
      <c r="K31" s="77" t="s">
        <v>12</v>
      </c>
      <c r="L31" s="25">
        <v>2</v>
      </c>
      <c r="M31" s="78"/>
      <c r="N31" s="77" t="s">
        <v>13</v>
      </c>
      <c r="O31" s="25">
        <v>8</v>
      </c>
      <c r="P31" s="77" t="s">
        <v>12</v>
      </c>
      <c r="Q31" s="25">
        <v>11</v>
      </c>
      <c r="R31" s="77" t="s">
        <v>16</v>
      </c>
      <c r="S31" s="25">
        <v>4</v>
      </c>
      <c r="T31" s="77" t="s">
        <v>12</v>
      </c>
      <c r="U31" s="25">
        <v>11</v>
      </c>
      <c r="V31" s="77" t="s">
        <v>16</v>
      </c>
      <c r="W31" s="25"/>
      <c r="X31" s="77" t="s">
        <v>12</v>
      </c>
      <c r="Y31" s="25"/>
      <c r="Z31" s="77" t="s">
        <v>14</v>
      </c>
      <c r="AB31" s="84" t="s">
        <v>104</v>
      </c>
      <c r="AC31" s="84" t="s">
        <v>105</v>
      </c>
      <c r="AE31" s="294"/>
      <c r="AF31" s="295"/>
      <c r="AG31" s="9">
        <v>2</v>
      </c>
      <c r="AH31" s="47">
        <f>IF(OR(AQ31&gt;0,AR31&gt;0),1,0)</f>
        <v>1</v>
      </c>
      <c r="AI31" s="26">
        <f>((AQ31&gt;AR31)*1+(AS31&gt;AT31)*1+(AU31&gt;AV31)*1+(AW31&gt;AX31)*1+(AY31&gt;AZ31)*1&gt;1.99)*2+((BB31&gt;BC31)*1+(BD31&gt;BE31)*1+(BF31&gt;BG31)*1+(BH31&gt;BI31)*1+(BJ31&gt;BK31)*1&gt;1.99)*2</f>
        <v>0</v>
      </c>
      <c r="AJ31" s="26">
        <f t="shared" si="42"/>
        <v>0</v>
      </c>
      <c r="AK31" s="26">
        <f t="shared" si="43"/>
        <v>2</v>
      </c>
      <c r="AL31" s="26">
        <f>AJ31-AK31</f>
        <v>-2</v>
      </c>
      <c r="AM31" s="26">
        <f t="shared" si="44"/>
        <v>16</v>
      </c>
      <c r="AN31" s="26">
        <f t="shared" si="45"/>
        <v>25</v>
      </c>
      <c r="AO31" s="26">
        <f>AM31-AN31</f>
        <v>-9</v>
      </c>
      <c r="AP31" s="33"/>
      <c r="AQ31" s="34">
        <f>Q18</f>
        <v>4</v>
      </c>
      <c r="AR31" s="35">
        <f>O18</f>
        <v>11</v>
      </c>
      <c r="AS31" s="35">
        <f>U18</f>
        <v>12</v>
      </c>
      <c r="AT31" s="35">
        <f>S18</f>
        <v>14</v>
      </c>
      <c r="AU31" s="35">
        <f>Y18</f>
        <v>0</v>
      </c>
      <c r="AV31" s="35">
        <f>W18</f>
        <v>0</v>
      </c>
      <c r="AW31" s="35"/>
      <c r="AX31" s="35"/>
      <c r="AY31" s="36"/>
      <c r="AZ31" s="37"/>
      <c r="BA31" s="33"/>
      <c r="BB31" s="34"/>
      <c r="BC31" s="35"/>
      <c r="BD31" s="35"/>
      <c r="BE31" s="35"/>
      <c r="BF31" s="35"/>
      <c r="BG31" s="35"/>
      <c r="BH31" s="35"/>
      <c r="BI31" s="35"/>
      <c r="BJ31" s="36"/>
      <c r="BK31" s="38"/>
    </row>
    <row r="32" spans="1:70" ht="15" customHeight="1" thickBot="1" x14ac:dyDescent="0.3">
      <c r="A32" s="76"/>
      <c r="B32" s="13" t="str">
        <f>VLOOKUP(AB32,Gruppeneinteilung!$A$5:$B$20,2,0)</f>
        <v>Satus Kreuzlingen</v>
      </c>
      <c r="D32" s="15" t="s">
        <v>10</v>
      </c>
      <c r="E32" s="13" t="str">
        <f>VLOOKUP(AC32,Gruppeneinteilung!$A$5:$B$20,2,0)</f>
        <v>JFB Widnau</v>
      </c>
      <c r="J32" s="25">
        <v>0</v>
      </c>
      <c r="K32" s="77" t="s">
        <v>12</v>
      </c>
      <c r="L32" s="25">
        <v>2</v>
      </c>
      <c r="M32" s="78"/>
      <c r="N32" s="77" t="s">
        <v>13</v>
      </c>
      <c r="O32" s="25">
        <v>5</v>
      </c>
      <c r="P32" s="77" t="s">
        <v>12</v>
      </c>
      <c r="Q32" s="25">
        <v>11</v>
      </c>
      <c r="R32" s="77" t="s">
        <v>16</v>
      </c>
      <c r="S32" s="25">
        <v>5</v>
      </c>
      <c r="T32" s="77" t="s">
        <v>12</v>
      </c>
      <c r="U32" s="25">
        <v>11</v>
      </c>
      <c r="V32" s="77" t="s">
        <v>16</v>
      </c>
      <c r="W32" s="25"/>
      <c r="X32" s="77" t="s">
        <v>12</v>
      </c>
      <c r="Y32" s="25"/>
      <c r="Z32" s="77" t="s">
        <v>14</v>
      </c>
      <c r="AB32" s="84" t="s">
        <v>106</v>
      </c>
      <c r="AC32" s="84" t="s">
        <v>107</v>
      </c>
      <c r="AE32" s="277"/>
      <c r="AF32" s="278"/>
      <c r="AG32" s="11"/>
      <c r="AH32" s="39">
        <f t="shared" ref="AH32:AO32" si="46">SUM(AH30:AH31)</f>
        <v>2</v>
      </c>
      <c r="AI32" s="39">
        <f t="shared" si="46"/>
        <v>2</v>
      </c>
      <c r="AJ32" s="39">
        <f t="shared" si="46"/>
        <v>2</v>
      </c>
      <c r="AK32" s="39">
        <f t="shared" si="46"/>
        <v>3</v>
      </c>
      <c r="AL32" s="39">
        <f t="shared" si="46"/>
        <v>-1</v>
      </c>
      <c r="AM32" s="39">
        <f t="shared" si="46"/>
        <v>47</v>
      </c>
      <c r="AN32" s="39">
        <f t="shared" si="46"/>
        <v>52</v>
      </c>
      <c r="AO32" s="39">
        <f t="shared" si="46"/>
        <v>-5</v>
      </c>
      <c r="AP32" s="40"/>
      <c r="AQ32" s="41"/>
      <c r="AR32" s="42"/>
      <c r="AS32" s="42"/>
      <c r="AT32" s="42"/>
      <c r="AU32" s="42"/>
      <c r="AV32" s="42"/>
      <c r="AW32" s="42"/>
      <c r="AX32" s="42"/>
      <c r="AY32" s="43"/>
      <c r="AZ32" s="44"/>
      <c r="BA32" s="40"/>
      <c r="BB32" s="41"/>
      <c r="BC32" s="42"/>
      <c r="BD32" s="42"/>
      <c r="BE32" s="42"/>
      <c r="BF32" s="42"/>
      <c r="BG32" s="42"/>
      <c r="BH32" s="42"/>
      <c r="BI32" s="42"/>
      <c r="BJ32" s="43"/>
      <c r="BK32" s="45"/>
    </row>
    <row r="33" spans="1:70" ht="15" customHeight="1" x14ac:dyDescent="0.25">
      <c r="A33" s="76"/>
      <c r="B33" s="13" t="str">
        <f>VLOOKUP(AB33,Gruppeneinteilung!$A$5:$B$20,2,0)</f>
        <v>FG RiWi 1</v>
      </c>
      <c r="D33" s="15" t="s">
        <v>10</v>
      </c>
      <c r="E33" s="13" t="str">
        <f>VLOOKUP(AC33,Gruppeneinteilung!$A$5:$B$20,2,0)</f>
        <v>Satus Kreuzlingen</v>
      </c>
      <c r="J33" s="25">
        <v>2</v>
      </c>
      <c r="K33" s="77" t="s">
        <v>12</v>
      </c>
      <c r="L33" s="25">
        <v>0</v>
      </c>
      <c r="M33" s="78"/>
      <c r="N33" s="77" t="s">
        <v>13</v>
      </c>
      <c r="O33" s="25">
        <v>11</v>
      </c>
      <c r="P33" s="77" t="s">
        <v>12</v>
      </c>
      <c r="Q33" s="25">
        <v>5</v>
      </c>
      <c r="R33" s="77" t="s">
        <v>16</v>
      </c>
      <c r="S33" s="25">
        <v>11</v>
      </c>
      <c r="T33" s="77" t="s">
        <v>12</v>
      </c>
      <c r="U33" s="25">
        <v>7</v>
      </c>
      <c r="V33" s="77" t="s">
        <v>16</v>
      </c>
      <c r="W33" s="25"/>
      <c r="X33" s="77" t="s">
        <v>12</v>
      </c>
      <c r="Y33" s="25"/>
      <c r="Z33" s="77" t="s">
        <v>14</v>
      </c>
      <c r="AB33" s="84" t="s">
        <v>103</v>
      </c>
      <c r="AC33" s="84" t="s">
        <v>106</v>
      </c>
      <c r="AD33" s="15"/>
    </row>
    <row r="34" spans="1:70" ht="15" customHeight="1" x14ac:dyDescent="0.25">
      <c r="A34" s="76"/>
      <c r="B34" s="13" t="str">
        <f>VLOOKUP(AB34,Gruppeneinteilung!$A$5:$B$20,2,0)</f>
        <v>TS Schwarzach</v>
      </c>
      <c r="D34" s="15" t="s">
        <v>10</v>
      </c>
      <c r="E34" s="13" t="str">
        <f>VLOOKUP(AC34,Gruppeneinteilung!$A$5:$B$20,2,0)</f>
        <v>JFB Widnau</v>
      </c>
      <c r="J34" s="25">
        <v>1</v>
      </c>
      <c r="K34" s="77" t="s">
        <v>12</v>
      </c>
      <c r="L34" s="25">
        <v>1</v>
      </c>
      <c r="M34" s="78"/>
      <c r="N34" s="77" t="s">
        <v>13</v>
      </c>
      <c r="O34" s="25">
        <v>11</v>
      </c>
      <c r="P34" s="77" t="s">
        <v>12</v>
      </c>
      <c r="Q34" s="25">
        <v>9</v>
      </c>
      <c r="R34" s="77" t="s">
        <v>16</v>
      </c>
      <c r="S34" s="25">
        <v>8</v>
      </c>
      <c r="T34" s="77" t="s">
        <v>12</v>
      </c>
      <c r="U34" s="25">
        <v>11</v>
      </c>
      <c r="V34" s="77" t="s">
        <v>16</v>
      </c>
      <c r="W34" s="25"/>
      <c r="X34" s="77" t="s">
        <v>12</v>
      </c>
      <c r="Y34" s="25"/>
      <c r="Z34" s="77" t="s">
        <v>14</v>
      </c>
      <c r="AB34" s="84" t="s">
        <v>104</v>
      </c>
      <c r="AC34" s="84" t="s">
        <v>107</v>
      </c>
      <c r="AE34" s="13" t="s">
        <v>17</v>
      </c>
      <c r="AH34" s="7">
        <f t="shared" ref="AH34:AO34" si="47">+AH26+AH29+AH32</f>
        <v>6</v>
      </c>
      <c r="AI34" s="7">
        <f t="shared" si="47"/>
        <v>6</v>
      </c>
      <c r="AJ34" s="7">
        <f t="shared" si="47"/>
        <v>7</v>
      </c>
      <c r="AK34" s="7">
        <f t="shared" si="47"/>
        <v>7</v>
      </c>
      <c r="AL34" s="7">
        <f t="shared" si="47"/>
        <v>0</v>
      </c>
      <c r="AM34" s="7">
        <f t="shared" si="47"/>
        <v>136</v>
      </c>
      <c r="AN34" s="7">
        <f t="shared" si="47"/>
        <v>136</v>
      </c>
      <c r="AO34" s="7">
        <f t="shared" si="47"/>
        <v>0</v>
      </c>
      <c r="AP34" s="7"/>
      <c r="AQ34" s="7">
        <f t="shared" ref="AQ34:AZ34" si="48">SUM(AQ24:AQ32)</f>
        <v>53</v>
      </c>
      <c r="AR34" s="7">
        <f t="shared" si="48"/>
        <v>53</v>
      </c>
      <c r="AS34" s="7">
        <f t="shared" si="48"/>
        <v>64</v>
      </c>
      <c r="AT34" s="7">
        <f t="shared" si="48"/>
        <v>64</v>
      </c>
      <c r="AU34" s="7">
        <f t="shared" si="48"/>
        <v>19</v>
      </c>
      <c r="AV34" s="7">
        <f t="shared" si="48"/>
        <v>19</v>
      </c>
      <c r="AW34" s="7">
        <f t="shared" si="48"/>
        <v>0</v>
      </c>
      <c r="AX34" s="7">
        <f t="shared" si="48"/>
        <v>0</v>
      </c>
      <c r="AY34" s="7">
        <f t="shared" si="48"/>
        <v>0</v>
      </c>
      <c r="AZ34" s="7">
        <f t="shared" si="48"/>
        <v>0</v>
      </c>
      <c r="BA34" s="7"/>
      <c r="BB34" s="7">
        <f t="shared" ref="BB34:BK34" si="49">SUM(BB24:BB32)</f>
        <v>0</v>
      </c>
      <c r="BC34" s="7">
        <f t="shared" si="49"/>
        <v>0</v>
      </c>
      <c r="BD34" s="7">
        <f t="shared" si="49"/>
        <v>0</v>
      </c>
      <c r="BE34" s="7">
        <f t="shared" si="49"/>
        <v>0</v>
      </c>
      <c r="BF34" s="7">
        <f t="shared" si="49"/>
        <v>0</v>
      </c>
      <c r="BG34" s="7">
        <f t="shared" si="49"/>
        <v>0</v>
      </c>
      <c r="BH34" s="7">
        <f t="shared" si="49"/>
        <v>0</v>
      </c>
      <c r="BI34" s="7">
        <f t="shared" si="49"/>
        <v>0</v>
      </c>
      <c r="BJ34" s="7">
        <f t="shared" si="49"/>
        <v>0</v>
      </c>
      <c r="BK34" s="7">
        <f t="shared" si="49"/>
        <v>0</v>
      </c>
    </row>
    <row r="35" spans="1:70" ht="15" customHeight="1" x14ac:dyDescent="0.25">
      <c r="A35" s="76"/>
      <c r="B35" s="13" t="str">
        <f>VLOOKUP(AB35,Gruppeneinteilung!$A$5:$B$20,2,0)</f>
        <v>FG RiWi 1</v>
      </c>
      <c r="D35" s="15" t="s">
        <v>10</v>
      </c>
      <c r="E35" s="13" t="str">
        <f>VLOOKUP(AC35,Gruppeneinteilung!$A$5:$B$20,2,0)</f>
        <v>STV Wigoltingen</v>
      </c>
      <c r="J35" s="25">
        <v>2</v>
      </c>
      <c r="K35" s="77" t="s">
        <v>12</v>
      </c>
      <c r="L35" s="25">
        <v>0</v>
      </c>
      <c r="M35" s="78"/>
      <c r="N35" s="77" t="s">
        <v>13</v>
      </c>
      <c r="O35" s="25">
        <v>11</v>
      </c>
      <c r="P35" s="77" t="s">
        <v>12</v>
      </c>
      <c r="Q35" s="25">
        <v>9</v>
      </c>
      <c r="R35" s="77" t="s">
        <v>16</v>
      </c>
      <c r="S35" s="25">
        <v>11</v>
      </c>
      <c r="T35" s="77" t="s">
        <v>12</v>
      </c>
      <c r="U35" s="25">
        <v>6</v>
      </c>
      <c r="V35" s="77" t="s">
        <v>16</v>
      </c>
      <c r="W35" s="25"/>
      <c r="X35" s="77" t="s">
        <v>12</v>
      </c>
      <c r="Y35" s="25"/>
      <c r="Z35" s="77" t="s">
        <v>14</v>
      </c>
      <c r="AB35" s="84" t="s">
        <v>103</v>
      </c>
      <c r="AC35" s="84" t="s">
        <v>105</v>
      </c>
    </row>
    <row r="36" spans="1:70" ht="15" customHeight="1" x14ac:dyDescent="0.25">
      <c r="A36" s="76"/>
      <c r="B36" s="13" t="str">
        <f>VLOOKUP(AB36,Gruppeneinteilung!$A$5:$B$20,2,0)</f>
        <v>TS Schwarzach</v>
      </c>
      <c r="D36" s="15" t="s">
        <v>10</v>
      </c>
      <c r="E36" s="13" t="str">
        <f>VLOOKUP(AC36,Gruppeneinteilung!$A$5:$B$20,2,0)</f>
        <v>Satus Kreuzlingen</v>
      </c>
      <c r="J36" s="25">
        <v>2</v>
      </c>
      <c r="K36" s="77" t="s">
        <v>12</v>
      </c>
      <c r="L36" s="25">
        <v>0</v>
      </c>
      <c r="M36" s="78"/>
      <c r="N36" s="77" t="s">
        <v>13</v>
      </c>
      <c r="O36" s="25">
        <v>11</v>
      </c>
      <c r="P36" s="77" t="s">
        <v>12</v>
      </c>
      <c r="Q36" s="25">
        <v>8</v>
      </c>
      <c r="R36" s="77" t="s">
        <v>16</v>
      </c>
      <c r="S36" s="25">
        <v>14</v>
      </c>
      <c r="T36" s="77" t="s">
        <v>12</v>
      </c>
      <c r="U36" s="25">
        <v>12</v>
      </c>
      <c r="V36" s="77" t="s">
        <v>16</v>
      </c>
      <c r="W36" s="25"/>
      <c r="X36" s="77" t="s">
        <v>12</v>
      </c>
      <c r="Y36" s="25"/>
      <c r="Z36" s="77" t="s">
        <v>14</v>
      </c>
      <c r="AB36" s="84" t="s">
        <v>104</v>
      </c>
      <c r="AC36" s="84" t="s">
        <v>106</v>
      </c>
      <c r="AD36" s="15"/>
      <c r="AG36" s="274" t="s">
        <v>22</v>
      </c>
      <c r="AH36" s="274" t="s">
        <v>23</v>
      </c>
      <c r="AI36" s="316" t="s">
        <v>15</v>
      </c>
      <c r="AJ36" s="316"/>
      <c r="AK36" s="15" t="s">
        <v>24</v>
      </c>
    </row>
    <row r="37" spans="1:70" ht="15" customHeight="1" x14ac:dyDescent="0.25">
      <c r="A37" s="76"/>
      <c r="B37" s="13" t="str">
        <f>VLOOKUP(AB37,Gruppeneinteilung!$A$5:$B$20,2,0)</f>
        <v>STV Wigoltingen</v>
      </c>
      <c r="D37" s="15" t="s">
        <v>10</v>
      </c>
      <c r="E37" s="13" t="str">
        <f>VLOOKUP(AC37,Gruppeneinteilung!$A$5:$B$20,2,0)</f>
        <v>JFB Widnau</v>
      </c>
      <c r="J37" s="25">
        <v>2</v>
      </c>
      <c r="K37" s="77" t="s">
        <v>12</v>
      </c>
      <c r="L37" s="25">
        <v>0</v>
      </c>
      <c r="M37" s="78"/>
      <c r="N37" s="77" t="s">
        <v>13</v>
      </c>
      <c r="O37" s="25">
        <v>11</v>
      </c>
      <c r="P37" s="77" t="s">
        <v>12</v>
      </c>
      <c r="Q37" s="25">
        <v>8</v>
      </c>
      <c r="R37" s="77" t="s">
        <v>16</v>
      </c>
      <c r="S37" s="25">
        <v>11</v>
      </c>
      <c r="T37" s="77" t="s">
        <v>12</v>
      </c>
      <c r="U37" s="25">
        <v>9</v>
      </c>
      <c r="V37" s="77" t="s">
        <v>16</v>
      </c>
      <c r="W37" s="25"/>
      <c r="X37" s="77" t="s">
        <v>12</v>
      </c>
      <c r="Y37" s="25"/>
      <c r="Z37" s="77" t="s">
        <v>14</v>
      </c>
      <c r="AB37" s="84" t="s">
        <v>105</v>
      </c>
      <c r="AC37" s="84" t="s">
        <v>107</v>
      </c>
      <c r="AE37" s="15" t="s">
        <v>18</v>
      </c>
      <c r="AF37" s="13" t="str">
        <f>$AF$27</f>
        <v xml:space="preserve">FBV Ettenhausen </v>
      </c>
      <c r="AG37" s="7">
        <f>$AH$29</f>
        <v>2</v>
      </c>
      <c r="AH37" s="7">
        <f>$AI$29</f>
        <v>4</v>
      </c>
      <c r="AI37" s="7">
        <f>$AM$29</f>
        <v>47</v>
      </c>
      <c r="AJ37" s="7">
        <f>$AN$29</f>
        <v>31</v>
      </c>
      <c r="AK37" s="7">
        <f>$AO$29</f>
        <v>16</v>
      </c>
      <c r="AL37" s="7"/>
    </row>
    <row r="38" spans="1:70" ht="15" customHeight="1" x14ac:dyDescent="0.25">
      <c r="A38" s="76"/>
      <c r="AE38" s="15" t="s">
        <v>19</v>
      </c>
      <c r="AF38" s="13" t="str">
        <f>$AF$30</f>
        <v>FBT Flums</v>
      </c>
      <c r="AG38" s="7">
        <f>$AH$32</f>
        <v>2</v>
      </c>
      <c r="AH38" s="7">
        <f>$AI$32</f>
        <v>2</v>
      </c>
      <c r="AI38" s="7">
        <f>$AM$32</f>
        <v>47</v>
      </c>
      <c r="AJ38" s="7">
        <f>$AN$32</f>
        <v>52</v>
      </c>
      <c r="AK38" s="7">
        <f>$AO$32</f>
        <v>-5</v>
      </c>
      <c r="AL38" s="7"/>
    </row>
    <row r="39" spans="1:70" ht="21.75" customHeight="1" x14ac:dyDescent="0.25">
      <c r="A39" s="75" t="s">
        <v>47</v>
      </c>
      <c r="E39" s="85"/>
      <c r="F39" s="85"/>
      <c r="G39" s="316"/>
      <c r="H39" s="316"/>
      <c r="I39" s="316"/>
      <c r="AE39" s="15" t="s">
        <v>20</v>
      </c>
      <c r="AF39" s="13" t="str">
        <f>$AF$24</f>
        <v>TS Höchst</v>
      </c>
      <c r="AG39" s="7">
        <f>$AH$26</f>
        <v>2</v>
      </c>
      <c r="AH39" s="7">
        <f>$AI$26</f>
        <v>0</v>
      </c>
      <c r="AI39" s="7">
        <f>$AM$26</f>
        <v>42</v>
      </c>
      <c r="AJ39" s="7">
        <f>$AN$26</f>
        <v>53</v>
      </c>
      <c r="AK39" s="7">
        <f>$AO$26</f>
        <v>-11</v>
      </c>
      <c r="AL39" s="7"/>
    </row>
    <row r="40" spans="1:70" ht="15" customHeight="1" x14ac:dyDescent="0.25">
      <c r="A40" s="76"/>
      <c r="B40" s="15" t="s">
        <v>18</v>
      </c>
      <c r="C40" s="13" t="str">
        <f>AF72</f>
        <v>FG RiWi 1</v>
      </c>
      <c r="E40" s="7">
        <f t="shared" ref="E40:E44" si="50">AG72</f>
        <v>4</v>
      </c>
      <c r="F40" s="7">
        <f t="shared" ref="F40:F44" si="51">AH72</f>
        <v>8</v>
      </c>
      <c r="G40" s="13">
        <f t="shared" ref="G40:G44" si="52">AI72</f>
        <v>88</v>
      </c>
      <c r="H40" s="15" t="s">
        <v>12</v>
      </c>
      <c r="I40" s="14">
        <f t="shared" ref="I40:I44" si="53">AJ72</f>
        <v>52</v>
      </c>
    </row>
    <row r="41" spans="1:70" ht="15" customHeight="1" thickBot="1" x14ac:dyDescent="0.3">
      <c r="A41" s="76"/>
      <c r="B41" s="15" t="s">
        <v>19</v>
      </c>
      <c r="C41" s="13" t="str">
        <f t="shared" ref="C41:C44" si="54">AF73</f>
        <v>STV Wigoltingen</v>
      </c>
      <c r="E41" s="7">
        <f t="shared" si="50"/>
        <v>4</v>
      </c>
      <c r="F41" s="7">
        <f t="shared" si="51"/>
        <v>6</v>
      </c>
      <c r="G41" s="13">
        <f t="shared" si="52"/>
        <v>84</v>
      </c>
      <c r="H41" s="15" t="s">
        <v>12</v>
      </c>
      <c r="I41" s="14">
        <f t="shared" si="53"/>
        <v>70</v>
      </c>
    </row>
    <row r="42" spans="1:70" ht="15" customHeight="1" thickBot="1" x14ac:dyDescent="0.3">
      <c r="A42" s="76"/>
      <c r="B42" s="15" t="s">
        <v>20</v>
      </c>
      <c r="C42" s="13" t="str">
        <f t="shared" si="54"/>
        <v>JFB Widnau</v>
      </c>
      <c r="E42" s="7">
        <f t="shared" si="50"/>
        <v>4</v>
      </c>
      <c r="F42" s="7">
        <f t="shared" si="51"/>
        <v>3</v>
      </c>
      <c r="G42" s="13">
        <f t="shared" si="52"/>
        <v>74</v>
      </c>
      <c r="H42" s="15" t="s">
        <v>12</v>
      </c>
      <c r="I42" s="14">
        <f t="shared" si="53"/>
        <v>73</v>
      </c>
      <c r="AH42" s="70" t="s">
        <v>29</v>
      </c>
      <c r="AI42" s="71" t="s">
        <v>30</v>
      </c>
      <c r="AJ42" s="71" t="s">
        <v>31</v>
      </c>
      <c r="AK42" s="71" t="s">
        <v>32</v>
      </c>
      <c r="AL42" s="72" t="s">
        <v>33</v>
      </c>
      <c r="AM42" s="71" t="s">
        <v>34</v>
      </c>
      <c r="AN42" s="71" t="s">
        <v>35</v>
      </c>
      <c r="AO42" s="73" t="s">
        <v>36</v>
      </c>
    </row>
    <row r="43" spans="1:70" ht="15" customHeight="1" x14ac:dyDescent="0.25">
      <c r="A43" s="76"/>
      <c r="B43" s="15" t="s">
        <v>21</v>
      </c>
      <c r="C43" s="13" t="str">
        <f t="shared" si="54"/>
        <v>TS Schwarzach</v>
      </c>
      <c r="E43" s="7">
        <f t="shared" si="50"/>
        <v>4</v>
      </c>
      <c r="F43" s="7">
        <f t="shared" si="51"/>
        <v>3</v>
      </c>
      <c r="G43" s="13">
        <f t="shared" si="52"/>
        <v>66</v>
      </c>
      <c r="H43" s="15" t="s">
        <v>12</v>
      </c>
      <c r="I43" s="14">
        <f t="shared" si="53"/>
        <v>84</v>
      </c>
      <c r="AA43" s="317" t="str">
        <f>IF(BR46=0, "DIREKTE BEGEGNUNG", "")</f>
        <v>DIREKTE BEGEGNUNG</v>
      </c>
      <c r="AE43" s="318" t="s">
        <v>103</v>
      </c>
      <c r="AF43" s="321" t="str">
        <f>VLOOKUP(AE43,Gruppeneinteilung!$A$5:$B$20,2,0)</f>
        <v>FG RiWi 1</v>
      </c>
      <c r="AG43" s="8">
        <v>1</v>
      </c>
      <c r="AH43" s="47">
        <f>IF(OR(AQ43&gt;0,AR43&gt;0),1,0)</f>
        <v>1</v>
      </c>
      <c r="AI43" s="47">
        <f>((AQ43&gt;AR43)*1+(AS43&gt;AT43)*1+(AU43&gt;AV43)*1+(AW43&gt;AX43)*1+(AY43&gt;AZ43)*1&gt;1.99)*2+((BB43&gt;BC43)*1+(BD43&gt;BE43)*1+(BF43&gt;BG43)*1+(BH43&gt;BI43)*1+(BJ43&gt;BK43)*1&gt;1.99)*2</f>
        <v>2</v>
      </c>
      <c r="AJ43" s="47">
        <f>IF(AQ43&gt;AR43,1,0)+IF(AS43&gt;AT43,1,0)+IF(AU43&gt;AV43,1,0)+IF(AW43&gt;AX43,1,0)+IF(AY43&gt;AZ43,1,0)+IF(BB43&gt;BC43,1,0)+IF(BD43&gt;BE43,1,0)+IF(BF43&gt;BG43,1,0)+IF(BH43&gt;BI43,1,0)+IF(BJ43&gt;BK43,1,0)</f>
        <v>2</v>
      </c>
      <c r="AK43" s="47">
        <f>IF(AQ43&lt;AR43,1,0)+IF(AS43&lt;AT43,1,0)+IF(AU43&lt;AV43,1,0)+IF(AW43&lt;AX43,1,0)+IF(AY43&lt;AZ43,1,0)+IF(BB43&lt;BC43,1,0)+IF(BD43&lt;BE43,1,0)+IF(BF43&lt;BG43,1,0)+IF(BH43&lt;BI43,1,0)+IF(BJ43&lt;BK43,1,0)</f>
        <v>0</v>
      </c>
      <c r="AL43" s="47">
        <f>AJ43-AK43</f>
        <v>2</v>
      </c>
      <c r="AM43" s="47">
        <f t="shared" ref="AM43:AM46" si="55">AQ43+AS43+AU43+BB43+BD43+BF43</f>
        <v>22</v>
      </c>
      <c r="AN43" s="47">
        <f t="shared" ref="AN43:AN46" si="56">AR43+AT43+AV43+BC43+BE43+BG43</f>
        <v>10</v>
      </c>
      <c r="AO43" s="47">
        <f>AM43-AN43</f>
        <v>12</v>
      </c>
      <c r="AP43" s="60"/>
      <c r="AQ43" s="61">
        <f>O28</f>
        <v>11</v>
      </c>
      <c r="AR43" s="62">
        <f>Q28</f>
        <v>6</v>
      </c>
      <c r="AS43" s="62">
        <f>S28</f>
        <v>11</v>
      </c>
      <c r="AT43" s="62">
        <f>U28</f>
        <v>4</v>
      </c>
      <c r="AU43" s="62">
        <f>W28</f>
        <v>0</v>
      </c>
      <c r="AV43" s="62">
        <f>Y28</f>
        <v>0</v>
      </c>
      <c r="AW43" s="62"/>
      <c r="AX43" s="62"/>
      <c r="AY43" s="63"/>
      <c r="AZ43" s="64"/>
      <c r="BA43" s="60"/>
      <c r="BB43" s="61"/>
      <c r="BC43" s="62"/>
      <c r="BD43" s="62"/>
      <c r="BE43" s="62"/>
      <c r="BF43" s="62"/>
      <c r="BG43" s="62"/>
      <c r="BH43" s="62"/>
      <c r="BI43" s="62"/>
      <c r="BJ43" s="63"/>
      <c r="BK43" s="65"/>
    </row>
    <row r="44" spans="1:70" ht="15" customHeight="1" x14ac:dyDescent="0.25">
      <c r="A44" s="76"/>
      <c r="B44" s="15" t="s">
        <v>48</v>
      </c>
      <c r="C44" s="13" t="str">
        <f t="shared" si="54"/>
        <v>Satus Kreuzlingen</v>
      </c>
      <c r="E44" s="7">
        <f t="shared" si="50"/>
        <v>4</v>
      </c>
      <c r="F44" s="7">
        <f t="shared" si="51"/>
        <v>0</v>
      </c>
      <c r="G44" s="13">
        <f t="shared" si="52"/>
        <v>61</v>
      </c>
      <c r="H44" s="15" t="s">
        <v>12</v>
      </c>
      <c r="I44" s="14">
        <f t="shared" si="53"/>
        <v>94</v>
      </c>
      <c r="AA44" s="317"/>
      <c r="AE44" s="319"/>
      <c r="AF44" s="322"/>
      <c r="AG44" s="9">
        <v>2</v>
      </c>
      <c r="AH44" s="47">
        <f>IF(OR(AQ44&gt;0,AR44&gt;0),1,0)</f>
        <v>1</v>
      </c>
      <c r="AI44" s="26">
        <f>((AQ44&gt;AR44)*1+(AS44&gt;AT44)*1+(AU44&gt;AV44)*1+(AW44&gt;AX44)*1+(AY44&gt;AZ44)*1&gt;1.99)*2+((BB44&gt;BC44)*1+(BD44&gt;BE44)*1+(BF44&gt;BG44)*1+(BH44&gt;BI44)*1+(BJ44&gt;BK44)*1&gt;1.99)*2</f>
        <v>2</v>
      </c>
      <c r="AJ44" s="26">
        <f t="shared" ref="AJ44:AJ46" si="57">IF(AQ44&gt;AR44,1,0)+IF(AS44&gt;AT44,1,0)+IF(AU44&gt;AV44,1,0)+IF(AW44&gt;AX44,1,0)+IF(AY44&gt;AZ44,1,0)+IF(BB44&gt;BC44,1,0)+IF(BD44&gt;BE44,1,0)+IF(BF44&gt;BG44,1,0)+IF(BH44&gt;BI44,1,0)+IF(BJ44&gt;BK44,1,0)</f>
        <v>2</v>
      </c>
      <c r="AK44" s="26">
        <f t="shared" ref="AK44:AK46" si="58">IF(AQ44&lt;AR44,1,0)+IF(AS44&lt;AT44,1,0)+IF(AU44&lt;AV44,1,0)+IF(AW44&lt;AX44,1,0)+IF(AY44&lt;AZ44,1,0)+IF(BB44&lt;BC44,1,0)+IF(BD44&lt;BE44,1,0)+IF(BF44&lt;BG44,1,0)+IF(BH44&lt;BI44,1,0)+IF(BJ44&lt;BK44,1,0)</f>
        <v>0</v>
      </c>
      <c r="AL44" s="26">
        <f>AJ44-AK44</f>
        <v>2</v>
      </c>
      <c r="AM44" s="26">
        <f t="shared" si="55"/>
        <v>22</v>
      </c>
      <c r="AN44" s="26">
        <f t="shared" si="56"/>
        <v>15</v>
      </c>
      <c r="AO44" s="26">
        <f>AM44-AN44</f>
        <v>7</v>
      </c>
      <c r="AP44" s="27"/>
      <c r="AQ44" s="28">
        <f>O35</f>
        <v>11</v>
      </c>
      <c r="AR44" s="29">
        <f>Q35</f>
        <v>9</v>
      </c>
      <c r="AS44" s="29">
        <f>S35</f>
        <v>11</v>
      </c>
      <c r="AT44" s="29">
        <f>U35</f>
        <v>6</v>
      </c>
      <c r="AU44" s="29">
        <f>W35</f>
        <v>0</v>
      </c>
      <c r="AV44" s="29">
        <f>Y35</f>
        <v>0</v>
      </c>
      <c r="AW44" s="29"/>
      <c r="AX44" s="29"/>
      <c r="AY44" s="30"/>
      <c r="AZ44" s="31"/>
      <c r="BA44" s="27"/>
      <c r="BB44" s="28"/>
      <c r="BC44" s="29"/>
      <c r="BD44" s="29"/>
      <c r="BE44" s="29"/>
      <c r="BF44" s="29"/>
      <c r="BG44" s="29"/>
      <c r="BH44" s="29"/>
      <c r="BI44" s="29"/>
      <c r="BJ44" s="30"/>
      <c r="BK44" s="32"/>
      <c r="BM44" s="13" t="s">
        <v>140</v>
      </c>
    </row>
    <row r="45" spans="1:70" ht="15" customHeight="1" x14ac:dyDescent="0.25">
      <c r="AE45" s="319"/>
      <c r="AF45" s="322"/>
      <c r="AG45" s="9">
        <v>3</v>
      </c>
      <c r="AH45" s="47">
        <f>IF(OR(AQ45&gt;0,AR45&gt;0),1,0)</f>
        <v>1</v>
      </c>
      <c r="AI45" s="26">
        <f>((AQ45&gt;AR45)*1+(AS45&gt;AT45)*1+(AU45&gt;AV45)*1+(AW45&gt;AX45)*1+(AY45&gt;AZ45)*1&gt;1.99)*2+((BB45&gt;BC45)*1+(BD45&gt;BE45)*1+(BF45&gt;BG45)*1+(BH45&gt;BI45)*1+(BJ45&gt;BK45)*1&gt;1.99)*2</f>
        <v>2</v>
      </c>
      <c r="AJ45" s="26">
        <f t="shared" si="57"/>
        <v>2</v>
      </c>
      <c r="AK45" s="26">
        <f t="shared" si="58"/>
        <v>0</v>
      </c>
      <c r="AL45" s="26">
        <f>AJ45-AK45</f>
        <v>2</v>
      </c>
      <c r="AM45" s="26">
        <f t="shared" si="55"/>
        <v>22</v>
      </c>
      <c r="AN45" s="26">
        <f t="shared" si="56"/>
        <v>12</v>
      </c>
      <c r="AO45" s="26">
        <f>AM45-AN45</f>
        <v>10</v>
      </c>
      <c r="AP45" s="33"/>
      <c r="AQ45" s="34">
        <f>O33</f>
        <v>11</v>
      </c>
      <c r="AR45" s="35">
        <f>Q33</f>
        <v>5</v>
      </c>
      <c r="AS45" s="35">
        <f>S33</f>
        <v>11</v>
      </c>
      <c r="AT45" s="35">
        <f>U33</f>
        <v>7</v>
      </c>
      <c r="AU45" s="35">
        <f>W33</f>
        <v>0</v>
      </c>
      <c r="AV45" s="35">
        <f>Y33</f>
        <v>0</v>
      </c>
      <c r="AW45" s="35"/>
      <c r="AX45" s="35"/>
      <c r="AY45" s="36"/>
      <c r="AZ45" s="37"/>
      <c r="BA45" s="33"/>
      <c r="BB45" s="34"/>
      <c r="BC45" s="35"/>
      <c r="BD45" s="35"/>
      <c r="BE45" s="35"/>
      <c r="BF45" s="35"/>
      <c r="BG45" s="35"/>
      <c r="BH45" s="35"/>
      <c r="BI45" s="35"/>
      <c r="BJ45" s="36"/>
      <c r="BK45" s="38"/>
    </row>
    <row r="46" spans="1:70" ht="15" customHeight="1" x14ac:dyDescent="0.25">
      <c r="A46" s="66"/>
      <c r="E46" s="85"/>
      <c r="F46" s="85"/>
      <c r="AE46" s="319"/>
      <c r="AF46" s="322"/>
      <c r="AG46" s="9">
        <v>4</v>
      </c>
      <c r="AH46" s="47">
        <f>IF(OR(AQ46&gt;0,AR46&gt;0),1,0)</f>
        <v>1</v>
      </c>
      <c r="AI46" s="26">
        <f>((AQ46&gt;AR46)*1+(AS46&gt;AT46)*1+(AU46&gt;AV46)*1+(AW46&gt;AX46)*1+(AY46&gt;AZ46)*1&gt;1.99)*2+((BB46&gt;BC46)*1+(BD46&gt;BE46)*1+(BF46&gt;BG46)*1+(BH46&gt;BI46)*1+(BJ46&gt;BK46)*1&gt;1.99)*2</f>
        <v>2</v>
      </c>
      <c r="AJ46" s="26">
        <f t="shared" si="57"/>
        <v>2</v>
      </c>
      <c r="AK46" s="26">
        <f t="shared" si="58"/>
        <v>0</v>
      </c>
      <c r="AL46" s="26">
        <f>AJ46-AK46</f>
        <v>2</v>
      </c>
      <c r="AM46" s="26">
        <f t="shared" si="55"/>
        <v>22</v>
      </c>
      <c r="AN46" s="26">
        <f t="shared" si="56"/>
        <v>15</v>
      </c>
      <c r="AO46" s="26">
        <f>AM46-AN46</f>
        <v>7</v>
      </c>
      <c r="AP46" s="33"/>
      <c r="AQ46" s="34">
        <f>O30</f>
        <v>11</v>
      </c>
      <c r="AR46" s="35">
        <f>Q30</f>
        <v>6</v>
      </c>
      <c r="AS46" s="35">
        <f>S30</f>
        <v>11</v>
      </c>
      <c r="AT46" s="35">
        <f>U30</f>
        <v>9</v>
      </c>
      <c r="AU46" s="35">
        <f>W30</f>
        <v>0</v>
      </c>
      <c r="AV46" s="35">
        <f>Y30</f>
        <v>0</v>
      </c>
      <c r="AW46" s="35"/>
      <c r="AX46" s="35"/>
      <c r="AY46" s="36"/>
      <c r="AZ46" s="37"/>
      <c r="BA46" s="33"/>
      <c r="BB46" s="34"/>
      <c r="BC46" s="35"/>
      <c r="BD46" s="35"/>
      <c r="BE46" s="35"/>
      <c r="BF46" s="35"/>
      <c r="BG46" s="35"/>
      <c r="BH46" s="35"/>
      <c r="BI46" s="35"/>
      <c r="BJ46" s="36"/>
      <c r="BK46" s="38"/>
      <c r="BM46" s="13">
        <f>$F$40-$F$41</f>
        <v>2</v>
      </c>
      <c r="BN46" s="13">
        <f>$F$41-$F$42</f>
        <v>3</v>
      </c>
      <c r="BO46" s="13">
        <f>$F$42-$F$43</f>
        <v>0</v>
      </c>
      <c r="BP46" s="13">
        <f>$F$43-$F$44</f>
        <v>3</v>
      </c>
      <c r="BR46" s="13">
        <f>MIN(BM46:BQ46)</f>
        <v>0</v>
      </c>
    </row>
    <row r="47" spans="1:70" ht="15" customHeight="1" thickBot="1" x14ac:dyDescent="0.3">
      <c r="A47" s="75" t="str">
        <f>A1</f>
        <v>Ostschweizer Meisterschaft Halle 2019/2020 - Kat. U14</v>
      </c>
      <c r="AE47" s="320"/>
      <c r="AF47" s="323"/>
      <c r="AG47" s="10"/>
      <c r="AH47" s="39">
        <f>SUM(AH43:AH46)</f>
        <v>4</v>
      </c>
      <c r="AI47" s="39">
        <f t="shared" ref="AI47:AO47" si="59">SUM(AI43:AI46)</f>
        <v>8</v>
      </c>
      <c r="AJ47" s="39">
        <f t="shared" si="59"/>
        <v>8</v>
      </c>
      <c r="AK47" s="39">
        <f t="shared" si="59"/>
        <v>0</v>
      </c>
      <c r="AL47" s="39">
        <f t="shared" si="59"/>
        <v>8</v>
      </c>
      <c r="AM47" s="39">
        <f t="shared" si="59"/>
        <v>88</v>
      </c>
      <c r="AN47" s="39">
        <f t="shared" si="59"/>
        <v>52</v>
      </c>
      <c r="AO47" s="39">
        <f t="shared" si="59"/>
        <v>36</v>
      </c>
      <c r="AP47" s="40"/>
      <c r="AQ47" s="41"/>
      <c r="AR47" s="42"/>
      <c r="AS47" s="42"/>
      <c r="AT47" s="42"/>
      <c r="AU47" s="42"/>
      <c r="AV47" s="42"/>
      <c r="AW47" s="42"/>
      <c r="AX47" s="42"/>
      <c r="AY47" s="43"/>
      <c r="AZ47" s="44"/>
      <c r="BA47" s="40"/>
      <c r="BB47" s="41"/>
      <c r="BC47" s="42"/>
      <c r="BD47" s="42"/>
      <c r="BE47" s="42"/>
      <c r="BF47" s="42"/>
      <c r="BG47" s="42"/>
      <c r="BH47" s="42"/>
      <c r="BI47" s="42"/>
      <c r="BJ47" s="43"/>
      <c r="BK47" s="45"/>
    </row>
    <row r="48" spans="1:70" ht="15" customHeight="1" x14ac:dyDescent="0.25">
      <c r="A48" s="75" t="str">
        <f>A2</f>
        <v>So. 15.12.2019 / Aadorf, Löhracker</v>
      </c>
      <c r="AE48" s="324" t="s">
        <v>104</v>
      </c>
      <c r="AF48" s="326" t="str">
        <f>VLOOKUP(AE48,Gruppeneinteilung!$A$5:$B$20,2,0)</f>
        <v>TS Schwarzach</v>
      </c>
      <c r="AG48" s="8">
        <v>1</v>
      </c>
      <c r="AH48" s="47">
        <f>IF(OR(AQ48&gt;0,AR48&gt;0),1,0)</f>
        <v>1</v>
      </c>
      <c r="AI48" s="46">
        <f>((AQ48&gt;AR48)*1+(AS48&gt;AT48)*1+(AU48&gt;AV48)*1+(AW48&gt;AX48)*1+(AY48&gt;AZ48)*1&gt;1.99)*2+((BB48&gt;BC48)*1+(BD48&gt;BE48)*1+(BF48&gt;BG48)*1+(BH48&gt;BI48)*1+(BJ48&gt;BK48)*1&gt;1.99)*2</f>
        <v>0</v>
      </c>
      <c r="AJ48" s="46">
        <f>IF(AQ48&gt;AR48,1,0)+IF(AS48&gt;AT48,1,0)+IF(AU48&gt;AV48,1,0)+IF(AW48&gt;AX48,1,0)+IF(AY48&gt;AZ48,1,0)+IF(BB48&gt;BC48,1,0)+IF(BD48&gt;BE48,1,0)+IF(BF48&gt;BG48,1,0)+IF(BH48&gt;BI48,1,0)+IF(BJ48&gt;BK48,1,0)</f>
        <v>0</v>
      </c>
      <c r="AK48" s="46">
        <f>IF(AQ48&lt;AR48,1,0)+IF(AS48&lt;AT48,1,0)+IF(AU48&lt;AV48,1,0)+IF(AW48&lt;AX48,1,0)+IF(AY48&lt;AZ48,1,0)+IF(BB48&lt;BC48,1,0)+IF(BD48&lt;BE48,1,0)+IF(BF48&lt;BG48,1,0)+IF(BH48&lt;BI48,1,0)+IF(BJ48&lt;BK48,1,0)</f>
        <v>2</v>
      </c>
      <c r="AL48" s="47">
        <f>AJ48-AK48</f>
        <v>-2</v>
      </c>
      <c r="AM48" s="46">
        <f t="shared" ref="AM48:AM51" si="60">AQ48+AS48+AU48+BB48+BD48+BF48</f>
        <v>10</v>
      </c>
      <c r="AN48" s="46">
        <f t="shared" ref="AN48:AN51" si="61">AR48+AT48+AV48+BC48+BE48+BG48</f>
        <v>22</v>
      </c>
      <c r="AO48" s="47">
        <f>AM48-AN48</f>
        <v>-12</v>
      </c>
      <c r="AP48" s="48"/>
      <c r="AQ48" s="49">
        <f>Q28</f>
        <v>6</v>
      </c>
      <c r="AR48" s="50">
        <f>O28</f>
        <v>11</v>
      </c>
      <c r="AS48" s="50">
        <f>U28</f>
        <v>4</v>
      </c>
      <c r="AT48" s="50">
        <f>S28</f>
        <v>11</v>
      </c>
      <c r="AU48" s="50">
        <f>Y28</f>
        <v>0</v>
      </c>
      <c r="AV48" s="50">
        <f>W28</f>
        <v>0</v>
      </c>
      <c r="AW48" s="50"/>
      <c r="AX48" s="50"/>
      <c r="AY48" s="51"/>
      <c r="AZ48" s="52"/>
      <c r="BA48" s="48"/>
      <c r="BB48" s="49"/>
      <c r="BC48" s="50"/>
      <c r="BD48" s="50"/>
      <c r="BE48" s="50"/>
      <c r="BF48" s="50"/>
      <c r="BG48" s="50"/>
      <c r="BH48" s="50"/>
      <c r="BI48" s="50"/>
      <c r="BJ48" s="51"/>
      <c r="BK48" s="53"/>
    </row>
    <row r="49" spans="1:63" ht="15" customHeight="1" x14ac:dyDescent="0.25">
      <c r="A49" s="75" t="str">
        <f>A3</f>
        <v>Finalrunde</v>
      </c>
      <c r="AE49" s="319"/>
      <c r="AF49" s="322"/>
      <c r="AG49" s="9">
        <v>2</v>
      </c>
      <c r="AH49" s="47">
        <f>IF(OR(AQ49&gt;0,AR49&gt;0),1,0)</f>
        <v>1</v>
      </c>
      <c r="AI49" s="26">
        <f>((AQ49&gt;AR49)*1+(AS49&gt;AT49)*1+(AU49&gt;AV49)*1+(AW49&gt;AX49)*1+(AY49&gt;AZ49)*1&gt;1.99)*2+((BB49&gt;BC49)*1+(BD49&gt;BE49)*1+(BF49&gt;BG49)*1+(BH49&gt;BI49)*1+(BJ49&gt;BK49)*1&gt;1.99)*2</f>
        <v>2</v>
      </c>
      <c r="AJ49" s="26">
        <f t="shared" ref="AJ49:AJ51" si="62">IF(AQ49&gt;AR49,1,0)+IF(AS49&gt;AT49,1,0)+IF(AU49&gt;AV49,1,0)+IF(AW49&gt;AX49,1,0)+IF(AY49&gt;AZ49,1,0)+IF(BB49&gt;BC49,1,0)+IF(BD49&gt;BE49,1,0)+IF(BF49&gt;BG49,1,0)+IF(BH49&gt;BI49,1,0)+IF(BJ49&gt;BK49,1,0)</f>
        <v>2</v>
      </c>
      <c r="AK49" s="26">
        <f t="shared" ref="AK49:AK51" si="63">IF(AQ49&lt;AR49,1,0)+IF(AS49&lt;AT49,1,0)+IF(AU49&lt;AV49,1,0)+IF(AW49&lt;AX49,1,0)+IF(AY49&lt;AZ49,1,0)+IF(BB49&lt;BC49,1,0)+IF(BD49&lt;BE49,1,0)+IF(BF49&lt;BG49,1,0)+IF(BH49&lt;BI49,1,0)+IF(BJ49&lt;BK49,1,0)</f>
        <v>0</v>
      </c>
      <c r="AL49" s="26">
        <f>AJ49-AK49</f>
        <v>2</v>
      </c>
      <c r="AM49" s="26">
        <f t="shared" si="60"/>
        <v>25</v>
      </c>
      <c r="AN49" s="26">
        <f t="shared" si="61"/>
        <v>20</v>
      </c>
      <c r="AO49" s="26">
        <f>AM49-AN49</f>
        <v>5</v>
      </c>
      <c r="AP49" s="27"/>
      <c r="AQ49" s="28">
        <f>O36</f>
        <v>11</v>
      </c>
      <c r="AR49" s="29">
        <f>Q36</f>
        <v>8</v>
      </c>
      <c r="AS49" s="29">
        <f>S36</f>
        <v>14</v>
      </c>
      <c r="AT49" s="29">
        <f>U36</f>
        <v>12</v>
      </c>
      <c r="AU49" s="29">
        <f>W36</f>
        <v>0</v>
      </c>
      <c r="AV49" s="29">
        <f>Y36</f>
        <v>0</v>
      </c>
      <c r="AW49" s="29"/>
      <c r="AX49" s="29"/>
      <c r="AY49" s="30"/>
      <c r="AZ49" s="31"/>
      <c r="BA49" s="27"/>
      <c r="BB49" s="28"/>
      <c r="BC49" s="29"/>
      <c r="BD49" s="29"/>
      <c r="BE49" s="29"/>
      <c r="BF49" s="29"/>
      <c r="BG49" s="29"/>
      <c r="BH49" s="29"/>
      <c r="BI49" s="29"/>
      <c r="BJ49" s="30"/>
      <c r="BK49" s="32"/>
    </row>
    <row r="50" spans="1:63" ht="15" customHeight="1" x14ac:dyDescent="0.25">
      <c r="AE50" s="319"/>
      <c r="AF50" s="322"/>
      <c r="AG50" s="9">
        <v>3</v>
      </c>
      <c r="AH50" s="47">
        <f>IF(OR(AQ50&gt;0,AR50&gt;0),1,0)</f>
        <v>1</v>
      </c>
      <c r="AI50" s="26">
        <f>((AQ50&gt;AR50)*1+(AS50&gt;AT50)*1+(AU50&gt;AV50)*1+(AW50&gt;AX50)*1+(AY50&gt;AZ50)*1&gt;1.99)*2+((BB50&gt;BC50)*1+(BD50&gt;BE50)*1+(BF50&gt;BG50)*1+(BH50&gt;BI50)*1+(BJ50&gt;BK50)*1&gt;1.99)*2</f>
        <v>0</v>
      </c>
      <c r="AJ50" s="26">
        <f t="shared" si="62"/>
        <v>0</v>
      </c>
      <c r="AK50" s="26">
        <f t="shared" si="63"/>
        <v>2</v>
      </c>
      <c r="AL50" s="26">
        <f>AJ50-AK50</f>
        <v>-2</v>
      </c>
      <c r="AM50" s="26">
        <f t="shared" si="60"/>
        <v>12</v>
      </c>
      <c r="AN50" s="26">
        <f t="shared" si="61"/>
        <v>22</v>
      </c>
      <c r="AO50" s="26">
        <f>AM50-AN50</f>
        <v>-10</v>
      </c>
      <c r="AP50" s="33"/>
      <c r="AQ50" s="34">
        <f>O31</f>
        <v>8</v>
      </c>
      <c r="AR50" s="35">
        <f>Q31</f>
        <v>11</v>
      </c>
      <c r="AS50" s="35">
        <f>S31</f>
        <v>4</v>
      </c>
      <c r="AT50" s="35">
        <f>U31</f>
        <v>11</v>
      </c>
      <c r="AU50" s="35">
        <f>W31</f>
        <v>0</v>
      </c>
      <c r="AV50" s="35">
        <f>Y31</f>
        <v>0</v>
      </c>
      <c r="AW50" s="35"/>
      <c r="AX50" s="35"/>
      <c r="AY50" s="36"/>
      <c r="AZ50" s="37"/>
      <c r="BA50" s="33"/>
      <c r="BB50" s="34"/>
      <c r="BC50" s="35"/>
      <c r="BD50" s="35"/>
      <c r="BE50" s="35"/>
      <c r="BF50" s="35"/>
      <c r="BG50" s="35"/>
      <c r="BH50" s="35"/>
      <c r="BI50" s="35"/>
      <c r="BJ50" s="36"/>
      <c r="BK50" s="38"/>
    </row>
    <row r="51" spans="1:63" ht="15" customHeight="1" x14ac:dyDescent="0.25">
      <c r="AE51" s="319"/>
      <c r="AF51" s="322"/>
      <c r="AG51" s="9">
        <v>4</v>
      </c>
      <c r="AH51" s="47">
        <f>IF(OR(AQ51&gt;0,AR51&gt;0),1,0)</f>
        <v>1</v>
      </c>
      <c r="AI51" s="26">
        <f>((AQ51&gt;AR51)*1+(AS51&gt;AT51)*1+(AU51&gt;AV51)*1+(AW51&gt;AX51)*1+(AY51&gt;AZ51)*1&gt;1.99)*2+((BB51&gt;BC51)*1+(BD51&gt;BE51)*1+(BF51&gt;BG51)*1+(BH51&gt;BI51)*1+(BJ51&gt;BK51)*1&gt;1.99)*2</f>
        <v>0</v>
      </c>
      <c r="AJ51" s="26">
        <f t="shared" si="62"/>
        <v>1</v>
      </c>
      <c r="AK51" s="26">
        <f t="shared" si="63"/>
        <v>1</v>
      </c>
      <c r="AL51" s="26">
        <f>AJ51-AK51</f>
        <v>0</v>
      </c>
      <c r="AM51" s="26">
        <f t="shared" si="60"/>
        <v>19</v>
      </c>
      <c r="AN51" s="26">
        <f t="shared" si="61"/>
        <v>20</v>
      </c>
      <c r="AO51" s="26">
        <f>AM51-AN51</f>
        <v>-1</v>
      </c>
      <c r="AP51" s="33"/>
      <c r="AQ51" s="34">
        <f>O34</f>
        <v>11</v>
      </c>
      <c r="AR51" s="35">
        <f>Q34</f>
        <v>9</v>
      </c>
      <c r="AS51" s="35">
        <f>S34</f>
        <v>8</v>
      </c>
      <c r="AT51" s="35">
        <f>U34</f>
        <v>11</v>
      </c>
      <c r="AU51" s="35">
        <f>W34</f>
        <v>0</v>
      </c>
      <c r="AV51" s="35">
        <f>Y34</f>
        <v>0</v>
      </c>
      <c r="AW51" s="35"/>
      <c r="AX51" s="35"/>
      <c r="AY51" s="36"/>
      <c r="AZ51" s="37"/>
      <c r="BA51" s="33"/>
      <c r="BB51" s="34"/>
      <c r="BC51" s="35"/>
      <c r="BD51" s="35"/>
      <c r="BE51" s="35"/>
      <c r="BF51" s="35"/>
      <c r="BG51" s="35"/>
      <c r="BH51" s="35"/>
      <c r="BI51" s="35"/>
      <c r="BJ51" s="36"/>
      <c r="BK51" s="38"/>
    </row>
    <row r="52" spans="1:63" ht="15" customHeight="1" thickBot="1" x14ac:dyDescent="0.3">
      <c r="A52" s="79"/>
      <c r="B52" s="298" t="s">
        <v>141</v>
      </c>
      <c r="C52" s="79"/>
      <c r="D52" s="79"/>
      <c r="E52" s="79"/>
      <c r="F52" s="79"/>
      <c r="G52" s="79"/>
      <c r="H52" s="79"/>
      <c r="I52" s="79"/>
      <c r="J52" s="291"/>
      <c r="K52" s="79"/>
      <c r="L52" s="291"/>
      <c r="M52" s="291"/>
      <c r="N52" s="79"/>
      <c r="O52" s="292"/>
      <c r="P52" s="79"/>
      <c r="Q52" s="292"/>
      <c r="R52" s="79"/>
      <c r="S52" s="292"/>
      <c r="T52" s="79"/>
      <c r="U52" s="292"/>
      <c r="V52" s="79"/>
      <c r="W52" s="292"/>
      <c r="X52" s="79"/>
      <c r="Y52" s="292"/>
      <c r="Z52" s="79"/>
      <c r="AB52" s="14" t="s">
        <v>150</v>
      </c>
      <c r="AC52" s="13" t="s">
        <v>151</v>
      </c>
      <c r="AE52" s="320"/>
      <c r="AF52" s="323"/>
      <c r="AG52" s="10"/>
      <c r="AH52" s="39">
        <f>SUM(AH48:AH51)</f>
        <v>4</v>
      </c>
      <c r="AI52" s="39">
        <f t="shared" ref="AI52" si="64">SUM(AI48:AI51)</f>
        <v>2</v>
      </c>
      <c r="AJ52" s="39">
        <f t="shared" ref="AJ52" si="65">SUM(AJ48:AJ51)</f>
        <v>3</v>
      </c>
      <c r="AK52" s="39">
        <f t="shared" ref="AK52" si="66">SUM(AK48:AK51)</f>
        <v>5</v>
      </c>
      <c r="AL52" s="39">
        <f t="shared" ref="AL52" si="67">SUM(AL48:AL51)</f>
        <v>-2</v>
      </c>
      <c r="AM52" s="39">
        <f t="shared" ref="AM52" si="68">SUM(AM48:AM51)</f>
        <v>66</v>
      </c>
      <c r="AN52" s="39">
        <f t="shared" ref="AN52" si="69">SUM(AN48:AN51)</f>
        <v>84</v>
      </c>
      <c r="AO52" s="39">
        <f t="shared" ref="AO52" si="70">SUM(AO48:AO51)</f>
        <v>-18</v>
      </c>
      <c r="AP52" s="40"/>
      <c r="AQ52" s="41"/>
      <c r="AR52" s="42"/>
      <c r="AS52" s="42"/>
      <c r="AT52" s="42"/>
      <c r="AU52" s="42"/>
      <c r="AV52" s="42"/>
      <c r="AW52" s="42"/>
      <c r="AX52" s="42"/>
      <c r="AY52" s="43"/>
      <c r="AZ52" s="44"/>
      <c r="BA52" s="40"/>
      <c r="BB52" s="41"/>
      <c r="BC52" s="42"/>
      <c r="BD52" s="42"/>
      <c r="BE52" s="42"/>
      <c r="BF52" s="42"/>
      <c r="BG52" s="42"/>
      <c r="BH52" s="42"/>
      <c r="BI52" s="42"/>
      <c r="BJ52" s="43"/>
      <c r="BK52" s="45"/>
    </row>
    <row r="53" spans="1:63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291"/>
      <c r="K53" s="79"/>
      <c r="L53" s="291"/>
      <c r="M53" s="291"/>
      <c r="N53" s="79"/>
      <c r="O53" s="292"/>
      <c r="P53" s="79"/>
      <c r="Q53" s="292"/>
      <c r="R53" s="79"/>
      <c r="S53" s="292"/>
      <c r="T53" s="79"/>
      <c r="U53" s="292"/>
      <c r="V53" s="79"/>
      <c r="W53" s="292"/>
      <c r="X53" s="79"/>
      <c r="Y53" s="292"/>
      <c r="Z53" s="79"/>
      <c r="AE53" s="324" t="s">
        <v>105</v>
      </c>
      <c r="AF53" s="326" t="str">
        <f>VLOOKUP(AE53,Gruppeneinteilung!$A$5:$B$20,2,0)</f>
        <v>STV Wigoltingen</v>
      </c>
      <c r="AG53" s="8">
        <v>1</v>
      </c>
      <c r="AH53" s="47">
        <f>IF(OR(AQ53&gt;0,AR53&gt;0),1,0)</f>
        <v>1</v>
      </c>
      <c r="AI53" s="46">
        <f>((AQ53&gt;AR53)*1+(AS53&gt;AT53)*1+(AU53&gt;AV53)*1+(AW53&gt;AX53)*1+(AY53&gt;AZ53)*1&gt;1.99)*2+((BB53&gt;BC53)*1+(BD53&gt;BE53)*1+(BF53&gt;BG53)*1+(BH53&gt;BI53)*1+(BJ53&gt;BK53)*1&gt;1.99)*2</f>
        <v>2</v>
      </c>
      <c r="AJ53" s="46">
        <f>IF(AQ53&gt;AR53,1,0)+IF(AS53&gt;AT53,1,0)+IF(AU53&gt;AV53,1,0)+IF(AW53&gt;AX53,1,0)+IF(AY53&gt;AZ53,1,0)+IF(BB53&gt;BC53,1,0)+IF(BD53&gt;BE53,1,0)+IF(BF53&gt;BG53,1,0)+IF(BH53&gt;BI53,1,0)+IF(BJ53&gt;BK53,1,0)</f>
        <v>2</v>
      </c>
      <c r="AK53" s="46">
        <f>IF(AQ53&lt;AR53,1,0)+IF(AS53&lt;AT53,1,0)+IF(AU53&lt;AV53,1,0)+IF(AW53&lt;AX53,1,0)+IF(AY53&lt;AZ53,1,0)+IF(BB53&lt;BC53,1,0)+IF(BD53&lt;BE53,1,0)+IF(BF53&lt;BG53,1,0)+IF(BH53&lt;BI53,1,0)+IF(BJ53&lt;BK53,1,0)</f>
        <v>0</v>
      </c>
      <c r="AL53" s="47">
        <f>AJ53-AK53</f>
        <v>2</v>
      </c>
      <c r="AM53" s="46">
        <f t="shared" ref="AM53:AM56" si="71">AQ53+AS53+AU53+BB53+BD53+BF53</f>
        <v>25</v>
      </c>
      <c r="AN53" s="46">
        <f t="shared" ref="AN53:AN56" si="72">AR53+AT53+AV53+BC53+BE53+BG53</f>
        <v>19</v>
      </c>
      <c r="AO53" s="47">
        <f>AM53-AN53</f>
        <v>6</v>
      </c>
      <c r="AP53" s="48"/>
      <c r="AQ53" s="49">
        <f>O29</f>
        <v>11</v>
      </c>
      <c r="AR53" s="50">
        <f>Q29</f>
        <v>7</v>
      </c>
      <c r="AS53" s="50">
        <f>S29</f>
        <v>14</v>
      </c>
      <c r="AT53" s="50">
        <f>U29</f>
        <v>12</v>
      </c>
      <c r="AU53" s="50">
        <f>W29</f>
        <v>0</v>
      </c>
      <c r="AV53" s="50">
        <f>Y29</f>
        <v>0</v>
      </c>
      <c r="AW53" s="50"/>
      <c r="AX53" s="50"/>
      <c r="AY53" s="51"/>
      <c r="AZ53" s="52"/>
      <c r="BA53" s="48"/>
      <c r="BB53" s="49"/>
      <c r="BC53" s="50"/>
      <c r="BD53" s="50"/>
      <c r="BE53" s="50"/>
      <c r="BF53" s="50"/>
      <c r="BG53" s="50"/>
      <c r="BH53" s="50"/>
      <c r="BI53" s="50"/>
      <c r="BJ53" s="51"/>
      <c r="BK53" s="53"/>
    </row>
    <row r="54" spans="1:63" ht="15" customHeight="1" x14ac:dyDescent="0.25">
      <c r="A54" s="13" t="s">
        <v>146</v>
      </c>
      <c r="B54" s="13" t="str">
        <f>C12</f>
        <v>STV Affeltrangen</v>
      </c>
      <c r="D54" s="15" t="s">
        <v>10</v>
      </c>
      <c r="E54" s="13" t="str">
        <f>C24</f>
        <v>TS Höchst</v>
      </c>
      <c r="J54" s="299">
        <v>2</v>
      </c>
      <c r="K54" s="15" t="s">
        <v>12</v>
      </c>
      <c r="L54" s="299">
        <v>0</v>
      </c>
      <c r="N54" s="15" t="s">
        <v>13</v>
      </c>
      <c r="O54" s="299">
        <v>11</v>
      </c>
      <c r="P54" s="15" t="s">
        <v>12</v>
      </c>
      <c r="Q54" s="299">
        <v>3</v>
      </c>
      <c r="R54" s="15" t="s">
        <v>16</v>
      </c>
      <c r="S54" s="299">
        <v>11</v>
      </c>
      <c r="T54" s="15" t="s">
        <v>12</v>
      </c>
      <c r="U54" s="299">
        <v>6</v>
      </c>
      <c r="V54" s="15" t="s">
        <v>16</v>
      </c>
      <c r="W54" s="299"/>
      <c r="X54" s="15" t="s">
        <v>12</v>
      </c>
      <c r="Y54" s="299"/>
      <c r="Z54" s="15" t="s">
        <v>14</v>
      </c>
      <c r="AB54" s="14" t="str">
        <f>IF(L54=2,E54,(IF(J54=2,B54,"Sieger VF1")))</f>
        <v>STV Affeltrangen</v>
      </c>
      <c r="AC54" s="13" t="str">
        <f>IF(AB54=B54,E54,(IF(AB54=E54,B54,"Verlierer VF1")))</f>
        <v>TS Höchst</v>
      </c>
      <c r="AE54" s="319"/>
      <c r="AF54" s="322"/>
      <c r="AG54" s="9">
        <v>2</v>
      </c>
      <c r="AH54" s="47">
        <f>IF(OR(AQ54&gt;0,AR54&gt;0),1,0)</f>
        <v>1</v>
      </c>
      <c r="AI54" s="26">
        <f>((AQ54&gt;AR54)*1+(AS54&gt;AT54)*1+(AU54&gt;AV54)*1+(AW54&gt;AX54)*1+(AY54&gt;AZ54)*1&gt;1.99)*2+((BB54&gt;BC54)*1+(BD54&gt;BE54)*1+(BF54&gt;BG54)*1+(BH54&gt;BI54)*1+(BJ54&gt;BK54)*1&gt;1.99)*2</f>
        <v>0</v>
      </c>
      <c r="AJ54" s="26">
        <f t="shared" ref="AJ54:AJ56" si="73">IF(AQ54&gt;AR54,1,0)+IF(AS54&gt;AT54,1,0)+IF(AU54&gt;AV54,1,0)+IF(AW54&gt;AX54,1,0)+IF(AY54&gt;AZ54,1,0)+IF(BB54&gt;BC54,1,0)+IF(BD54&gt;BE54,1,0)+IF(BF54&gt;BG54,1,0)+IF(BH54&gt;BI54,1,0)+IF(BJ54&gt;BK54,1,0)</f>
        <v>0</v>
      </c>
      <c r="AK54" s="26">
        <f t="shared" ref="AK54:AK56" si="74">IF(AQ54&lt;AR54,1,0)+IF(AS54&lt;AT54,1,0)+IF(AU54&lt;AV54,1,0)+IF(AW54&lt;AX54,1,0)+IF(AY54&lt;AZ54,1,0)+IF(BB54&lt;BC54,1,0)+IF(BD54&lt;BE54,1,0)+IF(BF54&lt;BG54,1,0)+IF(BH54&lt;BI54,1,0)+IF(BJ54&lt;BK54,1,0)</f>
        <v>2</v>
      </c>
      <c r="AL54" s="26">
        <f>AJ54-AK54</f>
        <v>-2</v>
      </c>
      <c r="AM54" s="26">
        <f t="shared" si="71"/>
        <v>15</v>
      </c>
      <c r="AN54" s="26">
        <f t="shared" si="72"/>
        <v>22</v>
      </c>
      <c r="AO54" s="26">
        <f>AM54-AN54</f>
        <v>-7</v>
      </c>
      <c r="AP54" s="27"/>
      <c r="AQ54" s="28">
        <f>Q35</f>
        <v>9</v>
      </c>
      <c r="AR54" s="29">
        <f>O35</f>
        <v>11</v>
      </c>
      <c r="AS54" s="29">
        <f>U35</f>
        <v>6</v>
      </c>
      <c r="AT54" s="29">
        <f>S35</f>
        <v>11</v>
      </c>
      <c r="AU54" s="29">
        <f>Y35</f>
        <v>0</v>
      </c>
      <c r="AV54" s="29">
        <f>W35</f>
        <v>0</v>
      </c>
      <c r="AW54" s="29"/>
      <c r="AX54" s="29"/>
      <c r="AY54" s="30"/>
      <c r="AZ54" s="31"/>
      <c r="BA54" s="27"/>
      <c r="BB54" s="28"/>
      <c r="BC54" s="29"/>
      <c r="BD54" s="29"/>
      <c r="BE54" s="29"/>
      <c r="BF54" s="29"/>
      <c r="BG54" s="29"/>
      <c r="BH54" s="29"/>
      <c r="BI54" s="29"/>
      <c r="BJ54" s="30"/>
      <c r="BK54" s="32"/>
    </row>
    <row r="55" spans="1:63" ht="15" customHeight="1" x14ac:dyDescent="0.25">
      <c r="B55" s="300" t="s">
        <v>148</v>
      </c>
      <c r="C55" s="300"/>
      <c r="D55" s="301"/>
      <c r="E55" s="300" t="s">
        <v>49</v>
      </c>
      <c r="K55" s="15"/>
      <c r="N55" s="15"/>
      <c r="P55" s="15"/>
      <c r="R55" s="15"/>
      <c r="T55" s="15"/>
      <c r="V55" s="15"/>
      <c r="X55" s="15"/>
      <c r="Z55" s="15"/>
      <c r="AB55" s="14"/>
      <c r="AE55" s="319"/>
      <c r="AF55" s="322"/>
      <c r="AG55" s="9">
        <v>3</v>
      </c>
      <c r="AH55" s="47">
        <f>IF(OR(AQ55&gt;0,AR55&gt;0),1,0)</f>
        <v>1</v>
      </c>
      <c r="AI55" s="26">
        <f>((AQ55&gt;AR55)*1+(AS55&gt;AT55)*1+(AU55&gt;AV55)*1+(AW55&gt;AX55)*1+(AY55&gt;AZ55)*1&gt;1.99)*2+((BB55&gt;BC55)*1+(BD55&gt;BE55)*1+(BF55&gt;BG55)*1+(BH55&gt;BI55)*1+(BJ55&gt;BK55)*1&gt;1.99)*2</f>
        <v>2</v>
      </c>
      <c r="AJ55" s="26">
        <f t="shared" si="73"/>
        <v>2</v>
      </c>
      <c r="AK55" s="26">
        <f t="shared" si="74"/>
        <v>0</v>
      </c>
      <c r="AL55" s="26">
        <f>AJ55-AK55</f>
        <v>2</v>
      </c>
      <c r="AM55" s="26">
        <f t="shared" si="71"/>
        <v>22</v>
      </c>
      <c r="AN55" s="26">
        <f t="shared" si="72"/>
        <v>12</v>
      </c>
      <c r="AO55" s="26">
        <f>AM55-AN55</f>
        <v>10</v>
      </c>
      <c r="AP55" s="33"/>
      <c r="AQ55" s="34">
        <f>Q31</f>
        <v>11</v>
      </c>
      <c r="AR55" s="35">
        <f>O31</f>
        <v>8</v>
      </c>
      <c r="AS55" s="35">
        <f>U31</f>
        <v>11</v>
      </c>
      <c r="AT55" s="35">
        <f>S31</f>
        <v>4</v>
      </c>
      <c r="AU55" s="35">
        <f>Y31</f>
        <v>0</v>
      </c>
      <c r="AV55" s="35">
        <f>W31</f>
        <v>0</v>
      </c>
      <c r="AW55" s="35"/>
      <c r="AX55" s="35"/>
      <c r="AY55" s="36"/>
      <c r="AZ55" s="37"/>
      <c r="BA55" s="33"/>
      <c r="BB55" s="34"/>
      <c r="BC55" s="35"/>
      <c r="BD55" s="35"/>
      <c r="BE55" s="35"/>
      <c r="BF55" s="35"/>
      <c r="BG55" s="35"/>
      <c r="BH55" s="35"/>
      <c r="BI55" s="35"/>
      <c r="BJ55" s="36"/>
      <c r="BK55" s="38"/>
    </row>
    <row r="56" spans="1:63" ht="15" customHeight="1" x14ac:dyDescent="0.25">
      <c r="A56" s="13" t="s">
        <v>147</v>
      </c>
      <c r="B56" s="13" t="str">
        <f>C23</f>
        <v>FBT Flums</v>
      </c>
      <c r="D56" s="15" t="s">
        <v>10</v>
      </c>
      <c r="E56" s="13" t="str">
        <f>C13</f>
        <v>SVD Diepoldsau</v>
      </c>
      <c r="J56" s="299">
        <v>1</v>
      </c>
      <c r="K56" s="15" t="s">
        <v>12</v>
      </c>
      <c r="L56" s="299">
        <v>2</v>
      </c>
      <c r="N56" s="15" t="s">
        <v>13</v>
      </c>
      <c r="O56" s="299">
        <v>11</v>
      </c>
      <c r="P56" s="15" t="s">
        <v>12</v>
      </c>
      <c r="Q56" s="299">
        <v>6</v>
      </c>
      <c r="R56" s="15" t="s">
        <v>16</v>
      </c>
      <c r="S56" s="299">
        <v>11</v>
      </c>
      <c r="T56" s="15" t="s">
        <v>12</v>
      </c>
      <c r="U56" s="299">
        <v>13</v>
      </c>
      <c r="V56" s="15" t="s">
        <v>16</v>
      </c>
      <c r="W56" s="299">
        <v>9</v>
      </c>
      <c r="X56" s="15" t="s">
        <v>12</v>
      </c>
      <c r="Y56" s="299">
        <v>11</v>
      </c>
      <c r="Z56" s="15" t="s">
        <v>14</v>
      </c>
      <c r="AB56" s="14" t="str">
        <f>IF(L56=2,E56,(IF(J56=2,B56,"Sieger VF2")))</f>
        <v>SVD Diepoldsau</v>
      </c>
      <c r="AC56" s="13" t="str">
        <f>IF(AB56=B56,E56,(IF(AB56=E56,B56,"Verlierer VF2")))</f>
        <v>FBT Flums</v>
      </c>
      <c r="AE56" s="319"/>
      <c r="AF56" s="322"/>
      <c r="AG56" s="9">
        <v>4</v>
      </c>
      <c r="AH56" s="47">
        <f>IF(OR(AQ56&gt;0,AR56&gt;0),1,0)</f>
        <v>1</v>
      </c>
      <c r="AI56" s="26">
        <f>((AQ56&gt;AR56)*1+(AS56&gt;AT56)*1+(AU56&gt;AV56)*1+(AW56&gt;AX56)*1+(AY56&gt;AZ56)*1&gt;1.99)*2+((BB56&gt;BC56)*1+(BD56&gt;BE56)*1+(BF56&gt;BG56)*1+(BH56&gt;BI56)*1+(BJ56&gt;BK56)*1&gt;1.99)*2</f>
        <v>2</v>
      </c>
      <c r="AJ56" s="26">
        <f t="shared" si="73"/>
        <v>2</v>
      </c>
      <c r="AK56" s="26">
        <f t="shared" si="74"/>
        <v>0</v>
      </c>
      <c r="AL56" s="26">
        <f>AJ56-AK56</f>
        <v>2</v>
      </c>
      <c r="AM56" s="26">
        <f t="shared" si="71"/>
        <v>22</v>
      </c>
      <c r="AN56" s="26">
        <f t="shared" si="72"/>
        <v>17</v>
      </c>
      <c r="AO56" s="26">
        <f>AM56-AN56</f>
        <v>5</v>
      </c>
      <c r="AP56" s="33"/>
      <c r="AQ56" s="34">
        <f>O37</f>
        <v>11</v>
      </c>
      <c r="AR56" s="35">
        <f>Q37</f>
        <v>8</v>
      </c>
      <c r="AS56" s="35">
        <f>S37</f>
        <v>11</v>
      </c>
      <c r="AT56" s="35">
        <f>U37</f>
        <v>9</v>
      </c>
      <c r="AU56" s="35">
        <f>W37</f>
        <v>0</v>
      </c>
      <c r="AV56" s="35">
        <f>Y37</f>
        <v>0</v>
      </c>
      <c r="AW56" s="35"/>
      <c r="AX56" s="35"/>
      <c r="AY56" s="36"/>
      <c r="AZ56" s="37"/>
      <c r="BA56" s="33"/>
      <c r="BB56" s="34"/>
      <c r="BC56" s="35"/>
      <c r="BD56" s="35"/>
      <c r="BE56" s="35"/>
      <c r="BF56" s="35"/>
      <c r="BG56" s="35"/>
      <c r="BH56" s="35"/>
      <c r="BI56" s="35"/>
      <c r="BJ56" s="36"/>
      <c r="BK56" s="38"/>
    </row>
    <row r="57" spans="1:63" ht="15" customHeight="1" thickBot="1" x14ac:dyDescent="0.3">
      <c r="B57" s="300" t="s">
        <v>149</v>
      </c>
      <c r="C57" s="300"/>
      <c r="D57" s="301"/>
      <c r="E57" s="300" t="s">
        <v>50</v>
      </c>
      <c r="K57" s="15"/>
      <c r="N57" s="15"/>
      <c r="P57" s="15"/>
      <c r="R57" s="15"/>
      <c r="T57" s="15"/>
      <c r="V57" s="15"/>
      <c r="X57" s="15"/>
      <c r="Z57" s="15"/>
      <c r="AE57" s="320"/>
      <c r="AF57" s="323"/>
      <c r="AG57" s="11"/>
      <c r="AH57" s="39">
        <f>SUM(AH53:AH56)</f>
        <v>4</v>
      </c>
      <c r="AI57" s="39">
        <f t="shared" ref="AI57" si="75">SUM(AI53:AI56)</f>
        <v>6</v>
      </c>
      <c r="AJ57" s="39">
        <f t="shared" ref="AJ57" si="76">SUM(AJ53:AJ56)</f>
        <v>6</v>
      </c>
      <c r="AK57" s="39">
        <f t="shared" ref="AK57" si="77">SUM(AK53:AK56)</f>
        <v>2</v>
      </c>
      <c r="AL57" s="39">
        <f t="shared" ref="AL57" si="78">SUM(AL53:AL56)</f>
        <v>4</v>
      </c>
      <c r="AM57" s="39">
        <f t="shared" ref="AM57" si="79">SUM(AM53:AM56)</f>
        <v>84</v>
      </c>
      <c r="AN57" s="39">
        <f t="shared" ref="AN57" si="80">SUM(AN53:AN56)</f>
        <v>70</v>
      </c>
      <c r="AO57" s="39">
        <f t="shared" ref="AO57" si="81">SUM(AO53:AO56)</f>
        <v>14</v>
      </c>
      <c r="AP57" s="40"/>
      <c r="AQ57" s="41"/>
      <c r="AR57" s="42"/>
      <c r="AS57" s="42"/>
      <c r="AT57" s="42"/>
      <c r="AU57" s="42"/>
      <c r="AV57" s="42"/>
      <c r="AW57" s="42"/>
      <c r="AX57" s="42"/>
      <c r="AY57" s="43"/>
      <c r="AZ57" s="44"/>
      <c r="BA57" s="40"/>
      <c r="BB57" s="41"/>
      <c r="BC57" s="42"/>
      <c r="BD57" s="42"/>
      <c r="BE57" s="42"/>
      <c r="BF57" s="42"/>
      <c r="BG57" s="42"/>
      <c r="BH57" s="42"/>
      <c r="BI57" s="42"/>
      <c r="BJ57" s="43"/>
      <c r="BK57" s="45"/>
    </row>
    <row r="58" spans="1:63" ht="15" customHeight="1" x14ac:dyDescent="0.25">
      <c r="AE58" s="324" t="s">
        <v>106</v>
      </c>
      <c r="AF58" s="326" t="str">
        <f>VLOOKUP(AE58,Gruppeneinteilung!$A$5:$B$20,2,0)</f>
        <v>Satus Kreuzlingen</v>
      </c>
      <c r="AG58" s="8">
        <v>1</v>
      </c>
      <c r="AH58" s="47">
        <f>IF(OR(AQ58&gt;0,AR58&gt;0),1,0)</f>
        <v>1</v>
      </c>
      <c r="AI58" s="46">
        <f>((AQ58&gt;AR58)*1+(AS58&gt;AT58)*1+(AU58&gt;AV58)*1+(AW58&gt;AX58)*1+(AY58&gt;AZ58)*1&gt;1.99)*2+((BB58&gt;BC58)*1+(BD58&gt;BE58)*1+(BF58&gt;BG58)*1+(BH58&gt;BI58)*1+(BJ58&gt;BK58)*1&gt;1.99)*2</f>
        <v>0</v>
      </c>
      <c r="AJ58" s="46">
        <f>IF(AQ58&gt;AR58,1,0)+IF(AS58&gt;AT58,1,0)+IF(AU58&gt;AV58,1,0)+IF(AW58&gt;AX58,1,0)+IF(AY58&gt;AZ58,1,0)+IF(BB58&gt;BC58,1,0)+IF(BD58&gt;BE58,1,0)+IF(BF58&gt;BG58,1,0)+IF(BH58&gt;BI58,1,0)+IF(BJ58&gt;BK58,1,0)</f>
        <v>0</v>
      </c>
      <c r="AK58" s="46">
        <f>IF(AQ58&lt;AR58,1,0)+IF(AS58&lt;AT58,1,0)+IF(AU58&lt;AV58,1,0)+IF(AW58&lt;AX58,1,0)+IF(AY58&lt;AZ58,1,0)+IF(BB58&lt;BC58,1,0)+IF(BD58&lt;BE58,1,0)+IF(BF58&lt;BG58,1,0)+IF(BH58&lt;BI58,1,0)+IF(BJ58&lt;BK58,1,0)</f>
        <v>2</v>
      </c>
      <c r="AL58" s="47">
        <f>AJ58-AK58</f>
        <v>-2</v>
      </c>
      <c r="AM58" s="46">
        <f t="shared" ref="AM58:AM61" si="82">AQ58+AS58+AU58+BB58+BD58+BF58</f>
        <v>19</v>
      </c>
      <c r="AN58" s="46">
        <f t="shared" ref="AN58:AN61" si="83">AR58+AT58+AV58+BC58+BE58+BG58</f>
        <v>25</v>
      </c>
      <c r="AO58" s="47">
        <f>AM58-AN58</f>
        <v>-6</v>
      </c>
      <c r="AP58" s="48"/>
      <c r="AQ58" s="49">
        <f>Q29</f>
        <v>7</v>
      </c>
      <c r="AR58" s="50">
        <f>O29</f>
        <v>11</v>
      </c>
      <c r="AS58" s="50">
        <f>U29</f>
        <v>12</v>
      </c>
      <c r="AT58" s="50">
        <f>S29</f>
        <v>14</v>
      </c>
      <c r="AU58" s="50">
        <f>Y29</f>
        <v>0</v>
      </c>
      <c r="AV58" s="50">
        <f>W29</f>
        <v>0</v>
      </c>
      <c r="AW58" s="50"/>
      <c r="AX58" s="50"/>
      <c r="AY58" s="51"/>
      <c r="AZ58" s="52"/>
      <c r="BA58" s="48"/>
      <c r="BB58" s="49"/>
      <c r="BC58" s="50"/>
      <c r="BD58" s="50"/>
      <c r="BE58" s="50"/>
      <c r="BF58" s="50"/>
      <c r="BG58" s="50"/>
      <c r="BH58" s="50"/>
      <c r="BI58" s="50"/>
      <c r="BJ58" s="51"/>
      <c r="BK58" s="53"/>
    </row>
    <row r="59" spans="1:63" ht="15" customHeight="1" x14ac:dyDescent="0.25">
      <c r="AE59" s="319"/>
      <c r="AF59" s="322"/>
      <c r="AG59" s="9">
        <v>2</v>
      </c>
      <c r="AH59" s="47">
        <f>IF(OR(AQ59&gt;0,AR59&gt;0),1,0)</f>
        <v>1</v>
      </c>
      <c r="AI59" s="26">
        <f>((AQ59&gt;AR59)*1+(AS59&gt;AT59)*1+(AU59&gt;AV59)*1+(AW59&gt;AX59)*1+(AY59&gt;AZ59)*1&gt;1.99)*2+((BB59&gt;BC59)*1+(BD59&gt;BE59)*1+(BF59&gt;BG59)*1+(BH59&gt;BI59)*1+(BJ59&gt;BK59)*1&gt;1.99)*2</f>
        <v>0</v>
      </c>
      <c r="AJ59" s="26">
        <f t="shared" ref="AJ59:AJ61" si="84">IF(AQ59&gt;AR59,1,0)+IF(AS59&gt;AT59,1,0)+IF(AU59&gt;AV59,1,0)+IF(AW59&gt;AX59,1,0)+IF(AY59&gt;AZ59,1,0)+IF(BB59&gt;BC59,1,0)+IF(BD59&gt;BE59,1,0)+IF(BF59&gt;BG59,1,0)+IF(BH59&gt;BI59,1,0)+IF(BJ59&gt;BK59,1,0)</f>
        <v>0</v>
      </c>
      <c r="AK59" s="26">
        <f t="shared" ref="AK59:AK61" si="85">IF(AQ59&lt;AR59,1,0)+IF(AS59&lt;AT59,1,0)+IF(AU59&lt;AV59,1,0)+IF(AW59&lt;AX59,1,0)+IF(AY59&lt;AZ59,1,0)+IF(BB59&lt;BC59,1,0)+IF(BD59&lt;BE59,1,0)+IF(BF59&lt;BG59,1,0)+IF(BH59&lt;BI59,1,0)+IF(BJ59&lt;BK59,1,0)</f>
        <v>2</v>
      </c>
      <c r="AL59" s="26">
        <f>AJ59-AK59</f>
        <v>-2</v>
      </c>
      <c r="AM59" s="26">
        <f t="shared" si="82"/>
        <v>20</v>
      </c>
      <c r="AN59" s="26">
        <f t="shared" si="83"/>
        <v>25</v>
      </c>
      <c r="AO59" s="26">
        <f>AM59-AN59</f>
        <v>-5</v>
      </c>
      <c r="AP59" s="27"/>
      <c r="AQ59" s="28">
        <f>Q36</f>
        <v>8</v>
      </c>
      <c r="AR59" s="29">
        <f>O36</f>
        <v>11</v>
      </c>
      <c r="AS59" s="29">
        <f>U36</f>
        <v>12</v>
      </c>
      <c r="AT59" s="29">
        <f>S36</f>
        <v>14</v>
      </c>
      <c r="AU59" s="29">
        <f>Y36</f>
        <v>0</v>
      </c>
      <c r="AV59" s="29">
        <f>W36</f>
        <v>0</v>
      </c>
      <c r="AW59" s="29"/>
      <c r="AX59" s="29"/>
      <c r="AY59" s="30"/>
      <c r="AZ59" s="31"/>
      <c r="BA59" s="27"/>
      <c r="BB59" s="28"/>
      <c r="BC59" s="29"/>
      <c r="BD59" s="29"/>
      <c r="BE59" s="29"/>
      <c r="BF59" s="29"/>
      <c r="BG59" s="29"/>
      <c r="BH59" s="29"/>
      <c r="BI59" s="29"/>
      <c r="BJ59" s="30"/>
      <c r="BK59" s="32"/>
    </row>
    <row r="60" spans="1:63" ht="15" customHeight="1" x14ac:dyDescent="0.25">
      <c r="A60" s="79"/>
      <c r="B60" s="298" t="s">
        <v>152</v>
      </c>
      <c r="C60" s="79"/>
      <c r="D60" s="79"/>
      <c r="E60" s="79"/>
      <c r="F60" s="79"/>
      <c r="G60" s="79"/>
      <c r="H60" s="79"/>
      <c r="I60" s="79"/>
      <c r="J60" s="291"/>
      <c r="K60" s="79"/>
      <c r="L60" s="291"/>
      <c r="M60" s="291"/>
      <c r="N60" s="79"/>
      <c r="O60" s="292"/>
      <c r="P60" s="79"/>
      <c r="Q60" s="292"/>
      <c r="R60" s="79"/>
      <c r="S60" s="292"/>
      <c r="T60" s="79"/>
      <c r="U60" s="292"/>
      <c r="V60" s="79"/>
      <c r="W60" s="292"/>
      <c r="X60" s="79"/>
      <c r="Y60" s="292"/>
      <c r="Z60" s="79"/>
      <c r="AB60" s="14"/>
      <c r="AE60" s="319"/>
      <c r="AF60" s="322"/>
      <c r="AG60" s="9">
        <v>3</v>
      </c>
      <c r="AH60" s="47">
        <f>IF(OR(AQ60&gt;0,AR60&gt;0),1,0)</f>
        <v>1</v>
      </c>
      <c r="AI60" s="26">
        <f>((AQ60&gt;AR60)*1+(AS60&gt;AT60)*1+(AU60&gt;AV60)*1+(AW60&gt;AX60)*1+(AY60&gt;AZ60)*1&gt;1.99)*2+((BB60&gt;BC60)*1+(BD60&gt;BE60)*1+(BF60&gt;BG60)*1+(BH60&gt;BI60)*1+(BJ60&gt;BK60)*1&gt;1.99)*2</f>
        <v>0</v>
      </c>
      <c r="AJ60" s="26">
        <f t="shared" si="84"/>
        <v>0</v>
      </c>
      <c r="AK60" s="26">
        <f t="shared" si="85"/>
        <v>2</v>
      </c>
      <c r="AL60" s="26">
        <f>AJ60-AK60</f>
        <v>-2</v>
      </c>
      <c r="AM60" s="26">
        <f t="shared" si="82"/>
        <v>10</v>
      </c>
      <c r="AN60" s="26">
        <f t="shared" si="83"/>
        <v>22</v>
      </c>
      <c r="AO60" s="26">
        <f>AM60-AN60</f>
        <v>-12</v>
      </c>
      <c r="AP60" s="33"/>
      <c r="AQ60" s="28">
        <f>O32</f>
        <v>5</v>
      </c>
      <c r="AR60" s="29">
        <f>Q32</f>
        <v>11</v>
      </c>
      <c r="AS60" s="29">
        <f>S32</f>
        <v>5</v>
      </c>
      <c r="AT60" s="29">
        <f>U32</f>
        <v>11</v>
      </c>
      <c r="AU60" s="29">
        <f>W32</f>
        <v>0</v>
      </c>
      <c r="AV60" s="29">
        <f>Y32</f>
        <v>0</v>
      </c>
      <c r="AW60" s="35"/>
      <c r="AX60" s="35"/>
      <c r="AY60" s="36"/>
      <c r="AZ60" s="37"/>
      <c r="BA60" s="33"/>
      <c r="BB60" s="34"/>
      <c r="BC60" s="35"/>
      <c r="BD60" s="35"/>
      <c r="BE60" s="35"/>
      <c r="BF60" s="35"/>
      <c r="BG60" s="35"/>
      <c r="BH60" s="35"/>
      <c r="BI60" s="35"/>
      <c r="BJ60" s="36"/>
      <c r="BK60" s="38"/>
    </row>
    <row r="61" spans="1:63" ht="15" customHeight="1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291"/>
      <c r="K61" s="79"/>
      <c r="L61" s="291"/>
      <c r="M61" s="291"/>
      <c r="N61" s="79"/>
      <c r="O61" s="292"/>
      <c r="P61" s="79"/>
      <c r="Q61" s="292"/>
      <c r="R61" s="79"/>
      <c r="S61" s="292"/>
      <c r="T61" s="79"/>
      <c r="U61" s="292"/>
      <c r="V61" s="79"/>
      <c r="W61" s="292"/>
      <c r="X61" s="79"/>
      <c r="Y61" s="292"/>
      <c r="Z61" s="79"/>
      <c r="AE61" s="319"/>
      <c r="AF61" s="322"/>
      <c r="AG61" s="9">
        <v>4</v>
      </c>
      <c r="AH61" s="47">
        <f>IF(OR(AQ61&gt;0,AR61&gt;0),1,0)</f>
        <v>1</v>
      </c>
      <c r="AI61" s="26">
        <f>((AQ61&gt;AR61)*1+(AS61&gt;AT61)*1+(AU61&gt;AV61)*1+(AW61&gt;AX61)*1+(AY61&gt;AZ61)*1&gt;1.99)*2+((BB61&gt;BC61)*1+(BD61&gt;BE61)*1+(BF61&gt;BG61)*1+(BH61&gt;BI61)*1+(BJ61&gt;BK61)*1&gt;1.99)*2</f>
        <v>0</v>
      </c>
      <c r="AJ61" s="26">
        <f t="shared" si="84"/>
        <v>0</v>
      </c>
      <c r="AK61" s="26">
        <f t="shared" si="85"/>
        <v>2</v>
      </c>
      <c r="AL61" s="26">
        <f>AJ61-AK61</f>
        <v>-2</v>
      </c>
      <c r="AM61" s="26">
        <f t="shared" si="82"/>
        <v>12</v>
      </c>
      <c r="AN61" s="26">
        <f t="shared" si="83"/>
        <v>22</v>
      </c>
      <c r="AO61" s="26">
        <f>AM61-AN61</f>
        <v>-10</v>
      </c>
      <c r="AP61" s="33"/>
      <c r="AQ61" s="34">
        <f>Q33</f>
        <v>5</v>
      </c>
      <c r="AR61" s="35">
        <f>O33</f>
        <v>11</v>
      </c>
      <c r="AS61" s="35">
        <f>U33</f>
        <v>7</v>
      </c>
      <c r="AT61" s="35">
        <f>S33</f>
        <v>11</v>
      </c>
      <c r="AU61" s="35">
        <f>Y33</f>
        <v>0</v>
      </c>
      <c r="AV61" s="35">
        <f>W33</f>
        <v>0</v>
      </c>
      <c r="AW61" s="35"/>
      <c r="AX61" s="35"/>
      <c r="AY61" s="36"/>
      <c r="AZ61" s="37"/>
      <c r="BA61" s="33"/>
      <c r="BB61" s="34"/>
      <c r="BC61" s="35"/>
      <c r="BD61" s="35"/>
      <c r="BE61" s="35"/>
      <c r="BF61" s="35"/>
      <c r="BG61" s="35"/>
      <c r="BH61" s="35"/>
      <c r="BI61" s="35"/>
      <c r="BJ61" s="36"/>
      <c r="BK61" s="38"/>
    </row>
    <row r="62" spans="1:63" ht="15" customHeight="1" thickBot="1" x14ac:dyDescent="0.3">
      <c r="A62" s="13" t="s">
        <v>142</v>
      </c>
      <c r="B62" s="13" t="str">
        <f>C11</f>
        <v>FG RiWi 2</v>
      </c>
      <c r="D62" s="15" t="s">
        <v>10</v>
      </c>
      <c r="E62" s="13" t="str">
        <f>AB56</f>
        <v>SVD Diepoldsau</v>
      </c>
      <c r="J62" s="299">
        <v>2</v>
      </c>
      <c r="K62" s="15" t="s">
        <v>12</v>
      </c>
      <c r="L62" s="299">
        <v>0</v>
      </c>
      <c r="N62" s="15" t="s">
        <v>13</v>
      </c>
      <c r="O62" s="299">
        <v>11</v>
      </c>
      <c r="P62" s="15" t="s">
        <v>12</v>
      </c>
      <c r="Q62" s="299">
        <v>8</v>
      </c>
      <c r="R62" s="15" t="s">
        <v>16</v>
      </c>
      <c r="S62" s="299">
        <v>11</v>
      </c>
      <c r="T62" s="15" t="s">
        <v>12</v>
      </c>
      <c r="U62" s="299">
        <v>9</v>
      </c>
      <c r="V62" s="15" t="s">
        <v>16</v>
      </c>
      <c r="W62" s="299"/>
      <c r="X62" s="15" t="s">
        <v>12</v>
      </c>
      <c r="Y62" s="299"/>
      <c r="Z62" s="15" t="s">
        <v>14</v>
      </c>
      <c r="AB62" s="14" t="str">
        <f>IF(L62=2,E62,(IF(J62=2,B62,"Sieger HF1")))</f>
        <v>FG RiWi 2</v>
      </c>
      <c r="AC62" s="13" t="str">
        <f>IF(AB62=B62,E62,(IF(AB62=E62,B62,"Verlierer HF1")))</f>
        <v>SVD Diepoldsau</v>
      </c>
      <c r="AE62" s="320"/>
      <c r="AF62" s="323"/>
      <c r="AG62" s="11"/>
      <c r="AH62" s="39">
        <f>SUM(AH58:AH61)</f>
        <v>4</v>
      </c>
      <c r="AI62" s="39">
        <f t="shared" ref="AI62:AO62" si="86">SUM(AI58:AI61)</f>
        <v>0</v>
      </c>
      <c r="AJ62" s="39">
        <f t="shared" si="86"/>
        <v>0</v>
      </c>
      <c r="AK62" s="39">
        <f t="shared" si="86"/>
        <v>8</v>
      </c>
      <c r="AL62" s="39">
        <f t="shared" si="86"/>
        <v>-8</v>
      </c>
      <c r="AM62" s="39">
        <f t="shared" si="86"/>
        <v>61</v>
      </c>
      <c r="AN62" s="39">
        <f t="shared" si="86"/>
        <v>94</v>
      </c>
      <c r="AO62" s="39">
        <f t="shared" si="86"/>
        <v>-33</v>
      </c>
      <c r="AP62" s="40"/>
      <c r="AQ62" s="41"/>
      <c r="AR62" s="42"/>
      <c r="AS62" s="42"/>
      <c r="AT62" s="42"/>
      <c r="AU62" s="42"/>
      <c r="AV62" s="42"/>
      <c r="AW62" s="42"/>
      <c r="AX62" s="42"/>
      <c r="AY62" s="43"/>
      <c r="AZ62" s="44"/>
      <c r="BA62" s="40"/>
      <c r="BB62" s="41"/>
      <c r="BC62" s="42"/>
      <c r="BD62" s="42"/>
      <c r="BE62" s="42"/>
      <c r="BF62" s="42"/>
      <c r="BG62" s="42"/>
      <c r="BH62" s="42"/>
      <c r="BI62" s="42"/>
      <c r="BJ62" s="43"/>
      <c r="BK62" s="45"/>
    </row>
    <row r="63" spans="1:63" ht="15" customHeight="1" x14ac:dyDescent="0.25">
      <c r="B63" s="300" t="s">
        <v>143</v>
      </c>
      <c r="C63" s="300"/>
      <c r="D63" s="301"/>
      <c r="E63" s="300" t="s">
        <v>153</v>
      </c>
      <c r="K63" s="15"/>
      <c r="N63" s="15"/>
      <c r="P63" s="15"/>
      <c r="R63" s="15"/>
      <c r="T63" s="15"/>
      <c r="V63" s="15"/>
      <c r="X63" s="15"/>
      <c r="Z63" s="15"/>
      <c r="AB63" s="14"/>
      <c r="AE63" s="324" t="s">
        <v>107</v>
      </c>
      <c r="AF63" s="326" t="str">
        <f>VLOOKUP(AE63,Gruppeneinteilung!$A$5:$B$20,2,0)</f>
        <v>JFB Widnau</v>
      </c>
      <c r="AG63" s="8">
        <v>1</v>
      </c>
      <c r="AH63" s="47">
        <f>IF(OR(AQ63&gt;0,AR63&gt;0),1,0)</f>
        <v>1</v>
      </c>
      <c r="AI63" s="46">
        <f>((AQ63&gt;AR63)*1+(AS63&gt;AT63)*1+(AU63&gt;AV63)*1+(AW63&gt;AX63)*1+(AY63&gt;AZ63)*1&gt;1.99)*2+((BB63&gt;BC63)*1+(BD63&gt;BE63)*1+(BF63&gt;BG63)*1+(BH63&gt;BI63)*1+(BJ63&gt;BK63)*1&gt;1.99)*2</f>
        <v>0</v>
      </c>
      <c r="AJ63" s="46">
        <f>IF(AQ63&gt;AR63,1,0)+IF(AS63&gt;AT63,1,0)+IF(AU63&gt;AV63,1,0)+IF(AW63&gt;AX63,1,0)+IF(AY63&gt;AZ63,1,0)+IF(BB63&gt;BC63,1,0)+IF(BD63&gt;BE63,1,0)+IF(BF63&gt;BG63,1,0)+IF(BH63&gt;BI63,1,0)+IF(BJ63&gt;BK63,1,0)</f>
        <v>0</v>
      </c>
      <c r="AK63" s="46">
        <f>IF(AQ63&lt;AR63,1,0)+IF(AS63&lt;AT63,1,0)+IF(AU63&lt;AV63,1,0)+IF(AW63&lt;AX63,1,0)+IF(AY63&lt;AZ63,1,0)+IF(BB63&lt;BC63,1,0)+IF(BD63&lt;BE63,1,0)+IF(BF63&lt;BG63,1,0)+IF(BH63&lt;BI63,1,0)+IF(BJ63&lt;BK63,1,0)</f>
        <v>2</v>
      </c>
      <c r="AL63" s="47">
        <f>AJ63-AK63</f>
        <v>-2</v>
      </c>
      <c r="AM63" s="46">
        <f t="shared" ref="AM63:AM66" si="87">AQ63+AS63+AU63+BB63+BD63+BF63</f>
        <v>15</v>
      </c>
      <c r="AN63" s="46">
        <f t="shared" ref="AN63:AN66" si="88">AR63+AT63+AV63+BC63+BE63+BG63</f>
        <v>22</v>
      </c>
      <c r="AO63" s="47">
        <f>AM63-AN63</f>
        <v>-7</v>
      </c>
      <c r="AP63" s="48"/>
      <c r="AQ63" s="49">
        <f>Q30</f>
        <v>6</v>
      </c>
      <c r="AR63" s="50">
        <f>O30</f>
        <v>11</v>
      </c>
      <c r="AS63" s="50">
        <f>U30</f>
        <v>9</v>
      </c>
      <c r="AT63" s="50">
        <f>S30</f>
        <v>11</v>
      </c>
      <c r="AU63" s="50">
        <f>Y30</f>
        <v>0</v>
      </c>
      <c r="AV63" s="50">
        <f>W30</f>
        <v>0</v>
      </c>
      <c r="AW63" s="50"/>
      <c r="AX63" s="50"/>
      <c r="AY63" s="51"/>
      <c r="AZ63" s="52"/>
      <c r="BA63" s="48"/>
      <c r="BB63" s="49"/>
      <c r="BC63" s="50"/>
      <c r="BD63" s="50"/>
      <c r="BE63" s="50"/>
      <c r="BF63" s="50"/>
      <c r="BG63" s="50"/>
      <c r="BH63" s="50"/>
      <c r="BI63" s="50"/>
      <c r="BJ63" s="51"/>
      <c r="BK63" s="53"/>
    </row>
    <row r="64" spans="1:63" ht="15" customHeight="1" x14ac:dyDescent="0.25">
      <c r="A64" s="13" t="s">
        <v>144</v>
      </c>
      <c r="B64" s="13" t="str">
        <f>C22</f>
        <v xml:space="preserve">FBV Ettenhausen </v>
      </c>
      <c r="D64" s="15" t="s">
        <v>10</v>
      </c>
      <c r="E64" s="13" t="str">
        <f>AB54</f>
        <v>STV Affeltrangen</v>
      </c>
      <c r="J64" s="299">
        <v>2</v>
      </c>
      <c r="K64" s="15" t="s">
        <v>12</v>
      </c>
      <c r="L64" s="299">
        <v>0</v>
      </c>
      <c r="N64" s="15" t="s">
        <v>13</v>
      </c>
      <c r="O64" s="299">
        <v>12</v>
      </c>
      <c r="P64" s="15" t="s">
        <v>12</v>
      </c>
      <c r="Q64" s="299">
        <v>10</v>
      </c>
      <c r="R64" s="15" t="s">
        <v>16</v>
      </c>
      <c r="S64" s="299">
        <v>11</v>
      </c>
      <c r="T64" s="15" t="s">
        <v>12</v>
      </c>
      <c r="U64" s="299">
        <v>0</v>
      </c>
      <c r="V64" s="15" t="s">
        <v>16</v>
      </c>
      <c r="W64" s="299"/>
      <c r="X64" s="15" t="s">
        <v>12</v>
      </c>
      <c r="Y64" s="299"/>
      <c r="Z64" s="15" t="s">
        <v>14</v>
      </c>
      <c r="AB64" s="14" t="str">
        <f>IF(L64=2,E64,(IF(J64=2,B64,"Sieger HF2")))</f>
        <v xml:space="preserve">FBV Ettenhausen </v>
      </c>
      <c r="AC64" s="13" t="str">
        <f>IF(AB64=B64,E64,(IF(AB64=E64,B64,"Verlierer HF2")))</f>
        <v>STV Affeltrangen</v>
      </c>
      <c r="AE64" s="319"/>
      <c r="AF64" s="322"/>
      <c r="AG64" s="9">
        <v>2</v>
      </c>
      <c r="AH64" s="47">
        <f>IF(OR(AQ64&gt;0,AR64&gt;0),1,0)</f>
        <v>1</v>
      </c>
      <c r="AI64" s="26">
        <f>((AQ64&gt;AR64)*1+(AS64&gt;AT64)*1+(AU64&gt;AV64)*1+(AW64&gt;AX64)*1+(AY64&gt;AZ64)*1&gt;1.99)*2+((BB64&gt;BC64)*1+(BD64&gt;BE64)*1+(BF64&gt;BG64)*1+(BH64&gt;BI64)*1+(BJ64&gt;BK64)*1&gt;1.99)*2</f>
        <v>2</v>
      </c>
      <c r="AJ64" s="26">
        <f t="shared" ref="AJ64:AJ66" si="89">IF(AQ64&gt;AR64,1,0)+IF(AS64&gt;AT64,1,0)+IF(AU64&gt;AV64,1,0)+IF(AW64&gt;AX64,1,0)+IF(AY64&gt;AZ64,1,0)+IF(BB64&gt;BC64,1,0)+IF(BD64&gt;BE64,1,0)+IF(BF64&gt;BG64,1,0)+IF(BH64&gt;BI64,1,0)+IF(BJ64&gt;BK64,1,0)</f>
        <v>2</v>
      </c>
      <c r="AK64" s="26">
        <f t="shared" ref="AK64:AK66" si="90">IF(AQ64&lt;AR64,1,0)+IF(AS64&lt;AT64,1,0)+IF(AU64&lt;AV64,1,0)+IF(AW64&lt;AX64,1,0)+IF(AY64&lt;AZ64,1,0)+IF(BB64&lt;BC64,1,0)+IF(BD64&lt;BE64,1,0)+IF(BF64&lt;BG64,1,0)+IF(BH64&lt;BI64,1,0)+IF(BJ64&lt;BK64,1,0)</f>
        <v>0</v>
      </c>
      <c r="AL64" s="26">
        <f>AJ64-AK64</f>
        <v>2</v>
      </c>
      <c r="AM64" s="26">
        <f t="shared" si="87"/>
        <v>22</v>
      </c>
      <c r="AN64" s="26">
        <f t="shared" si="88"/>
        <v>10</v>
      </c>
      <c r="AO64" s="26">
        <f>AM64-AN64</f>
        <v>12</v>
      </c>
      <c r="AP64" s="27"/>
      <c r="AQ64" s="49">
        <f>Q32</f>
        <v>11</v>
      </c>
      <c r="AR64" s="50">
        <f>O32</f>
        <v>5</v>
      </c>
      <c r="AS64" s="50">
        <f>U32</f>
        <v>11</v>
      </c>
      <c r="AT64" s="50">
        <f>S32</f>
        <v>5</v>
      </c>
      <c r="AU64" s="50">
        <f>Y32</f>
        <v>0</v>
      </c>
      <c r="AV64" s="50">
        <f>W32</f>
        <v>0</v>
      </c>
      <c r="AW64" s="29"/>
      <c r="AX64" s="29"/>
      <c r="AY64" s="30"/>
      <c r="AZ64" s="31"/>
      <c r="BA64" s="27"/>
      <c r="BB64" s="28"/>
      <c r="BC64" s="29"/>
      <c r="BD64" s="29"/>
      <c r="BE64" s="29"/>
      <c r="BF64" s="29"/>
      <c r="BG64" s="29"/>
      <c r="BH64" s="29"/>
      <c r="BI64" s="29"/>
      <c r="BJ64" s="30"/>
      <c r="BK64" s="32"/>
    </row>
    <row r="65" spans="1:63" ht="15" customHeight="1" x14ac:dyDescent="0.25">
      <c r="B65" s="300" t="s">
        <v>145</v>
      </c>
      <c r="C65" s="300"/>
      <c r="D65" s="301"/>
      <c r="E65" s="300" t="s">
        <v>154</v>
      </c>
      <c r="K65" s="15"/>
      <c r="N65" s="15"/>
      <c r="P65" s="15"/>
      <c r="R65" s="15"/>
      <c r="T65" s="15"/>
      <c r="V65" s="15"/>
      <c r="X65" s="15"/>
      <c r="Z65" s="15"/>
      <c r="AE65" s="319"/>
      <c r="AF65" s="322"/>
      <c r="AG65" s="9">
        <v>3</v>
      </c>
      <c r="AH65" s="47">
        <f>IF(OR(AQ65&gt;0,AR65&gt;0),1,0)</f>
        <v>1</v>
      </c>
      <c r="AI65" s="26">
        <f>((AQ65&gt;AR65)*1+(AS65&gt;AT65)*1+(AU65&gt;AV65)*1+(AW65&gt;AX65)*1+(AY65&gt;AZ65)*1&gt;1.99)*2+((BB65&gt;BC65)*1+(BD65&gt;BE65)*1+(BF65&gt;BG65)*1+(BH65&gt;BI65)*1+(BJ65&gt;BK65)*1&gt;1.99)*2</f>
        <v>0</v>
      </c>
      <c r="AJ65" s="26">
        <f t="shared" si="89"/>
        <v>1</v>
      </c>
      <c r="AK65" s="26">
        <f t="shared" si="90"/>
        <v>1</v>
      </c>
      <c r="AL65" s="26">
        <f>AJ65-AK65</f>
        <v>0</v>
      </c>
      <c r="AM65" s="26">
        <f t="shared" si="87"/>
        <v>20</v>
      </c>
      <c r="AN65" s="26">
        <f t="shared" si="88"/>
        <v>19</v>
      </c>
      <c r="AO65" s="26">
        <f>AM65-AN65</f>
        <v>1</v>
      </c>
      <c r="AP65" s="33"/>
      <c r="AQ65" s="49">
        <f>Q34</f>
        <v>9</v>
      </c>
      <c r="AR65" s="50">
        <f>O34</f>
        <v>11</v>
      </c>
      <c r="AS65" s="50">
        <f>U34</f>
        <v>11</v>
      </c>
      <c r="AT65" s="50">
        <f>S34</f>
        <v>8</v>
      </c>
      <c r="AU65" s="50">
        <f>Y34</f>
        <v>0</v>
      </c>
      <c r="AV65" s="50">
        <f>W34</f>
        <v>0</v>
      </c>
      <c r="AW65" s="35"/>
      <c r="AX65" s="35"/>
      <c r="AY65" s="36"/>
      <c r="AZ65" s="37"/>
      <c r="BA65" s="33"/>
      <c r="BB65" s="34"/>
      <c r="BC65" s="35"/>
      <c r="BD65" s="35"/>
      <c r="BE65" s="35"/>
      <c r="BF65" s="35"/>
      <c r="BG65" s="35"/>
      <c r="BH65" s="35"/>
      <c r="BI65" s="35"/>
      <c r="BJ65" s="36"/>
      <c r="BK65" s="38"/>
    </row>
    <row r="66" spans="1:63" ht="15" customHeight="1" x14ac:dyDescent="0.25">
      <c r="AE66" s="319"/>
      <c r="AF66" s="322"/>
      <c r="AG66" s="9">
        <v>4</v>
      </c>
      <c r="AH66" s="47">
        <f>IF(OR(AQ66&gt;0,AR66&gt;0),1,0)</f>
        <v>1</v>
      </c>
      <c r="AI66" s="26">
        <f>((AQ66&gt;AR66)*1+(AS66&gt;AT66)*1+(AU66&gt;AV66)*1+(AW66&gt;AX66)*1+(AY66&gt;AZ66)*1&gt;1.99)*2+((BB66&gt;BC66)*1+(BD66&gt;BE66)*1+(BF66&gt;BG66)*1+(BH66&gt;BI66)*1+(BJ66&gt;BK66)*1&gt;1.99)*2</f>
        <v>0</v>
      </c>
      <c r="AJ66" s="26">
        <f t="shared" si="89"/>
        <v>0</v>
      </c>
      <c r="AK66" s="26">
        <f t="shared" si="90"/>
        <v>2</v>
      </c>
      <c r="AL66" s="26">
        <f>AJ66-AK66</f>
        <v>-2</v>
      </c>
      <c r="AM66" s="26">
        <f t="shared" si="87"/>
        <v>17</v>
      </c>
      <c r="AN66" s="26">
        <f t="shared" si="88"/>
        <v>22</v>
      </c>
      <c r="AO66" s="26">
        <f>AM66-AN66</f>
        <v>-5</v>
      </c>
      <c r="AP66" s="33"/>
      <c r="AQ66" s="49">
        <f>Q37</f>
        <v>8</v>
      </c>
      <c r="AR66" s="50">
        <f>O37</f>
        <v>11</v>
      </c>
      <c r="AS66" s="50">
        <f>U37</f>
        <v>9</v>
      </c>
      <c r="AT66" s="50">
        <f>S37</f>
        <v>11</v>
      </c>
      <c r="AU66" s="50">
        <f>Y37</f>
        <v>0</v>
      </c>
      <c r="AV66" s="50">
        <f>W37</f>
        <v>0</v>
      </c>
      <c r="AW66" s="35"/>
      <c r="AX66" s="35"/>
      <c r="AY66" s="36"/>
      <c r="AZ66" s="37"/>
      <c r="BA66" s="33"/>
      <c r="BB66" s="34"/>
      <c r="BC66" s="35"/>
      <c r="BD66" s="35"/>
      <c r="BE66" s="35"/>
      <c r="BF66" s="35"/>
      <c r="BG66" s="35"/>
      <c r="BH66" s="35"/>
      <c r="BI66" s="35"/>
      <c r="BJ66" s="36"/>
      <c r="BK66" s="38"/>
    </row>
    <row r="67" spans="1:63" ht="15" customHeight="1" thickBot="1" x14ac:dyDescent="0.3">
      <c r="AE67" s="325"/>
      <c r="AF67" s="327"/>
      <c r="AG67" s="11"/>
      <c r="AH67" s="39">
        <f>SUM(AH63:AH66)</f>
        <v>4</v>
      </c>
      <c r="AI67" s="39">
        <f t="shared" ref="AI67:AO67" si="91">SUM(AI63:AI66)</f>
        <v>2</v>
      </c>
      <c r="AJ67" s="39">
        <f t="shared" si="91"/>
        <v>3</v>
      </c>
      <c r="AK67" s="39">
        <f t="shared" si="91"/>
        <v>5</v>
      </c>
      <c r="AL67" s="39">
        <f t="shared" si="91"/>
        <v>-2</v>
      </c>
      <c r="AM67" s="39">
        <f t="shared" si="91"/>
        <v>74</v>
      </c>
      <c r="AN67" s="39">
        <f t="shared" si="91"/>
        <v>73</v>
      </c>
      <c r="AO67" s="39">
        <f t="shared" si="91"/>
        <v>1</v>
      </c>
      <c r="AP67" s="40"/>
      <c r="AQ67" s="41"/>
      <c r="AR67" s="42"/>
      <c r="AS67" s="42"/>
      <c r="AT67" s="42"/>
      <c r="AU67" s="42"/>
      <c r="AV67" s="42"/>
      <c r="AW67" s="42"/>
      <c r="AX67" s="42"/>
      <c r="AY67" s="43"/>
      <c r="AZ67" s="44"/>
      <c r="BA67" s="40"/>
      <c r="BB67" s="41"/>
      <c r="BC67" s="42"/>
      <c r="BD67" s="42"/>
      <c r="BE67" s="42"/>
      <c r="BF67" s="42"/>
      <c r="BG67" s="42"/>
      <c r="BH67" s="42"/>
      <c r="BI67" s="42"/>
      <c r="BJ67" s="43"/>
      <c r="BK67" s="45"/>
    </row>
    <row r="68" spans="1:63" ht="15" customHeight="1" x14ac:dyDescent="0.25">
      <c r="A68" s="79"/>
      <c r="B68" s="298" t="s">
        <v>155</v>
      </c>
      <c r="C68" s="79"/>
      <c r="D68" s="79"/>
      <c r="E68" s="79"/>
      <c r="F68" s="79"/>
      <c r="G68" s="79"/>
      <c r="H68" s="79"/>
      <c r="I68" s="79"/>
      <c r="J68" s="291"/>
      <c r="K68" s="79"/>
      <c r="L68" s="291"/>
      <c r="M68" s="291"/>
      <c r="N68" s="79"/>
      <c r="O68" s="292"/>
      <c r="P68" s="79"/>
      <c r="Q68" s="292"/>
      <c r="R68" s="79"/>
      <c r="S68" s="292"/>
      <c r="T68" s="79"/>
      <c r="U68" s="292"/>
      <c r="V68" s="79"/>
      <c r="W68" s="292"/>
      <c r="X68" s="79"/>
      <c r="Y68" s="292"/>
      <c r="Z68" s="79"/>
      <c r="AB68" s="14"/>
    </row>
    <row r="69" spans="1:63" ht="15" customHeight="1" x14ac:dyDescent="0.25">
      <c r="A69" s="79"/>
      <c r="B69" s="79"/>
      <c r="C69" s="79"/>
      <c r="D69" s="79"/>
      <c r="E69" s="79"/>
      <c r="F69" s="79"/>
      <c r="G69" s="79"/>
      <c r="H69" s="79"/>
      <c r="I69" s="79"/>
      <c r="J69" s="291"/>
      <c r="K69" s="79"/>
      <c r="L69" s="291"/>
      <c r="M69" s="291"/>
      <c r="N69" s="79"/>
      <c r="O69" s="292"/>
      <c r="P69" s="79"/>
      <c r="Q69" s="292"/>
      <c r="R69" s="79"/>
      <c r="S69" s="292"/>
      <c r="T69" s="79"/>
      <c r="U69" s="292"/>
      <c r="V69" s="79"/>
      <c r="W69" s="292"/>
      <c r="X69" s="79"/>
      <c r="Y69" s="292"/>
      <c r="Z69" s="79"/>
      <c r="AE69" s="13" t="s">
        <v>17</v>
      </c>
    </row>
    <row r="70" spans="1:63" ht="15" customHeight="1" x14ac:dyDescent="0.25">
      <c r="A70" s="15" t="s">
        <v>156</v>
      </c>
      <c r="B70" s="13" t="str">
        <f>AC54</f>
        <v>TS Höchst</v>
      </c>
      <c r="D70" s="15" t="s">
        <v>10</v>
      </c>
      <c r="E70" s="13" t="str">
        <f>AC56</f>
        <v>FBT Flums</v>
      </c>
      <c r="J70" s="299">
        <v>2</v>
      </c>
      <c r="K70" s="15" t="s">
        <v>12</v>
      </c>
      <c r="L70" s="299">
        <v>0</v>
      </c>
      <c r="N70" s="15" t="s">
        <v>13</v>
      </c>
      <c r="O70" s="299">
        <v>11</v>
      </c>
      <c r="P70" s="15" t="s">
        <v>12</v>
      </c>
      <c r="Q70" s="299">
        <v>6</v>
      </c>
      <c r="R70" s="15" t="s">
        <v>16</v>
      </c>
      <c r="S70" s="299">
        <v>11</v>
      </c>
      <c r="T70" s="15" t="s">
        <v>12</v>
      </c>
      <c r="U70" s="299">
        <v>4</v>
      </c>
      <c r="V70" s="15" t="s">
        <v>16</v>
      </c>
      <c r="W70" s="299"/>
      <c r="X70" s="15" t="s">
        <v>12</v>
      </c>
      <c r="Y70" s="299"/>
      <c r="Z70" s="15" t="s">
        <v>14</v>
      </c>
      <c r="AB70" s="14" t="str">
        <f>IF(L70=2,E70,(IF(J70=2,B70,"5. Rang")))</f>
        <v>TS Höchst</v>
      </c>
      <c r="AC70" s="13" t="str">
        <f>IF(AB70=B70,E70,(IF(AB70=E70,B70,"6. Rang")))</f>
        <v>FBT Flums</v>
      </c>
    </row>
    <row r="71" spans="1:63" ht="15" customHeight="1" x14ac:dyDescent="0.25">
      <c r="B71" s="300" t="s">
        <v>160</v>
      </c>
      <c r="C71" s="300"/>
      <c r="D71" s="301"/>
      <c r="E71" s="300" t="s">
        <v>159</v>
      </c>
      <c r="K71" s="15"/>
      <c r="N71" s="15"/>
      <c r="P71" s="15"/>
      <c r="R71" s="15"/>
      <c r="T71" s="15"/>
      <c r="V71" s="15"/>
      <c r="X71" s="15"/>
      <c r="Z71" s="15"/>
      <c r="AB71" s="14"/>
    </row>
    <row r="72" spans="1:63" ht="15" customHeight="1" x14ac:dyDescent="0.25">
      <c r="A72" s="15" t="s">
        <v>157</v>
      </c>
      <c r="B72" s="13" t="str">
        <f>AC62</f>
        <v>SVD Diepoldsau</v>
      </c>
      <c r="D72" s="15" t="s">
        <v>10</v>
      </c>
      <c r="E72" s="13" t="str">
        <f>AC64</f>
        <v>STV Affeltrangen</v>
      </c>
      <c r="J72" s="299">
        <v>2</v>
      </c>
      <c r="K72" s="15" t="s">
        <v>12</v>
      </c>
      <c r="L72" s="299">
        <v>0</v>
      </c>
      <c r="N72" s="15" t="s">
        <v>13</v>
      </c>
      <c r="O72" s="299">
        <v>11</v>
      </c>
      <c r="P72" s="15" t="s">
        <v>12</v>
      </c>
      <c r="Q72" s="299">
        <v>6</v>
      </c>
      <c r="R72" s="15" t="s">
        <v>16</v>
      </c>
      <c r="S72" s="299">
        <v>11</v>
      </c>
      <c r="T72" s="15" t="s">
        <v>12</v>
      </c>
      <c r="U72" s="299">
        <v>9</v>
      </c>
      <c r="V72" s="15" t="s">
        <v>16</v>
      </c>
      <c r="W72" s="299"/>
      <c r="X72" s="15" t="s">
        <v>12</v>
      </c>
      <c r="Y72" s="299"/>
      <c r="Z72" s="15" t="s">
        <v>14</v>
      </c>
      <c r="AB72" s="14" t="str">
        <f>IF(L72=2,E72,(IF(J72=2,B72,"3. Rang")))</f>
        <v>SVD Diepoldsau</v>
      </c>
      <c r="AC72" s="13" t="str">
        <f>IF(AB72=B72,E72,(IF(AB72=E72,B72,"4. Rang")))</f>
        <v>STV Affeltrangen</v>
      </c>
      <c r="AE72" s="15" t="s">
        <v>18</v>
      </c>
      <c r="AF72" s="13" t="str">
        <f>$AF$43</f>
        <v>FG RiWi 1</v>
      </c>
      <c r="AG72" s="7">
        <f>$AH$47</f>
        <v>4</v>
      </c>
      <c r="AH72" s="7">
        <f>$AJ$47</f>
        <v>8</v>
      </c>
      <c r="AI72" s="7">
        <f>$AM$47</f>
        <v>88</v>
      </c>
      <c r="AJ72" s="7">
        <f>$AN$47</f>
        <v>52</v>
      </c>
      <c r="AK72" s="7">
        <f>$AO$47</f>
        <v>36</v>
      </c>
    </row>
    <row r="73" spans="1:63" ht="15" customHeight="1" x14ac:dyDescent="0.25">
      <c r="B73" s="300" t="s">
        <v>161</v>
      </c>
      <c r="C73" s="300"/>
      <c r="D73" s="301"/>
      <c r="E73" s="300" t="s">
        <v>162</v>
      </c>
      <c r="K73" s="15"/>
      <c r="N73" s="15"/>
      <c r="P73" s="15"/>
      <c r="R73" s="15"/>
      <c r="T73" s="15"/>
      <c r="V73" s="15"/>
      <c r="X73" s="15"/>
      <c r="Z73" s="15"/>
      <c r="AE73" s="15" t="s">
        <v>20</v>
      </c>
      <c r="AF73" s="13" t="str">
        <f>$AF$53</f>
        <v>STV Wigoltingen</v>
      </c>
      <c r="AG73" s="7">
        <f>$AH$57</f>
        <v>4</v>
      </c>
      <c r="AH73" s="7">
        <f>$AJ$57</f>
        <v>6</v>
      </c>
      <c r="AI73" s="7">
        <f>$AM$57</f>
        <v>84</v>
      </c>
      <c r="AJ73" s="7">
        <f>$AN$57</f>
        <v>70</v>
      </c>
      <c r="AK73" s="7">
        <f>$AO$57</f>
        <v>14</v>
      </c>
    </row>
    <row r="74" spans="1:63" ht="15" customHeight="1" x14ac:dyDescent="0.25">
      <c r="A74" s="15" t="s">
        <v>158</v>
      </c>
      <c r="B74" s="13" t="str">
        <f>AB62</f>
        <v>FG RiWi 2</v>
      </c>
      <c r="D74" s="15" t="s">
        <v>10</v>
      </c>
      <c r="E74" s="13" t="str">
        <f>AB64</f>
        <v xml:space="preserve">FBV Ettenhausen </v>
      </c>
      <c r="J74" s="299">
        <v>0</v>
      </c>
      <c r="K74" s="15" t="s">
        <v>12</v>
      </c>
      <c r="L74" s="299">
        <v>2</v>
      </c>
      <c r="N74" s="15" t="s">
        <v>13</v>
      </c>
      <c r="O74" s="299">
        <v>9</v>
      </c>
      <c r="P74" s="15" t="s">
        <v>12</v>
      </c>
      <c r="Q74" s="299">
        <v>11</v>
      </c>
      <c r="R74" s="15" t="s">
        <v>16</v>
      </c>
      <c r="S74" s="299">
        <v>7</v>
      </c>
      <c r="T74" s="15" t="s">
        <v>12</v>
      </c>
      <c r="U74" s="299">
        <v>11</v>
      </c>
      <c r="V74" s="15" t="s">
        <v>16</v>
      </c>
      <c r="W74" s="299"/>
      <c r="X74" s="15" t="s">
        <v>12</v>
      </c>
      <c r="Y74" s="299"/>
      <c r="Z74" s="15" t="s">
        <v>14</v>
      </c>
      <c r="AB74" s="14" t="str">
        <f>IF(L74=2,E74,(IF(J74=2,B74,"1. Rang")))</f>
        <v xml:space="preserve">FBV Ettenhausen </v>
      </c>
      <c r="AC74" s="13" t="str">
        <f>IF(AB74=B74,E74,(IF(AB74=E74,B74,"2. Rang")))</f>
        <v>FG RiWi 2</v>
      </c>
      <c r="AE74" s="15" t="s">
        <v>48</v>
      </c>
      <c r="AF74" s="13" t="str">
        <f>$AF$63</f>
        <v>JFB Widnau</v>
      </c>
      <c r="AG74" s="7">
        <f>$AH$67</f>
        <v>4</v>
      </c>
      <c r="AH74" s="7">
        <f>$AJ$67</f>
        <v>3</v>
      </c>
      <c r="AI74" s="7">
        <f>$AM$67</f>
        <v>74</v>
      </c>
      <c r="AJ74" s="7">
        <f>$AN$67</f>
        <v>73</v>
      </c>
      <c r="AK74" s="7">
        <f>$AO$67</f>
        <v>1</v>
      </c>
      <c r="AL74" s="7"/>
    </row>
    <row r="75" spans="1:63" ht="15" customHeight="1" x14ac:dyDescent="0.25">
      <c r="B75" s="300" t="s">
        <v>163</v>
      </c>
      <c r="C75" s="300"/>
      <c r="D75" s="301"/>
      <c r="E75" s="300" t="s">
        <v>164</v>
      </c>
      <c r="K75" s="15"/>
      <c r="N75" s="15"/>
      <c r="P75" s="15"/>
      <c r="R75" s="15"/>
      <c r="T75" s="15"/>
      <c r="V75" s="15"/>
      <c r="X75" s="15"/>
      <c r="Z75" s="15"/>
      <c r="AE75" s="15" t="s">
        <v>19</v>
      </c>
      <c r="AF75" s="13" t="str">
        <f>$AF$48</f>
        <v>TS Schwarzach</v>
      </c>
      <c r="AG75" s="7">
        <f>$AH$52</f>
        <v>4</v>
      </c>
      <c r="AH75" s="7">
        <f>$AJ$52</f>
        <v>3</v>
      </c>
      <c r="AI75" s="7">
        <f>$AM$52</f>
        <v>66</v>
      </c>
      <c r="AJ75" s="7">
        <f>$AN$52</f>
        <v>84</v>
      </c>
      <c r="AK75" s="7">
        <f>$AO$52</f>
        <v>-18</v>
      </c>
      <c r="AL75" s="7"/>
    </row>
    <row r="76" spans="1:63" ht="15" customHeight="1" x14ac:dyDescent="0.25">
      <c r="AE76" s="15" t="s">
        <v>21</v>
      </c>
      <c r="AF76" s="13" t="str">
        <f>$AF$58</f>
        <v>Satus Kreuzlingen</v>
      </c>
      <c r="AG76" s="7">
        <f>$AH$62</f>
        <v>4</v>
      </c>
      <c r="AH76" s="7">
        <f>$AJ$62</f>
        <v>0</v>
      </c>
      <c r="AI76" s="7">
        <f>$AM$62</f>
        <v>61</v>
      </c>
      <c r="AJ76" s="7">
        <f>$AN$62</f>
        <v>94</v>
      </c>
      <c r="AK76" s="7">
        <f>$AO$62</f>
        <v>-33</v>
      </c>
      <c r="AL76" s="7"/>
    </row>
    <row r="77" spans="1:63" ht="15" customHeight="1" x14ac:dyDescent="0.25"/>
    <row r="78" spans="1:63" ht="15" customHeight="1" x14ac:dyDescent="0.25"/>
    <row r="79" spans="1:63" ht="15" customHeight="1" x14ac:dyDescent="0.25"/>
    <row r="80" spans="1:63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</sheetData>
  <sheetProtection sheet="1" selectLockedCells="1"/>
  <sortState ref="AE72:AK76">
    <sortCondition descending="1" ref="AH72:AH76"/>
    <sortCondition descending="1" ref="AK72:AK76"/>
  </sortState>
  <mergeCells count="18">
    <mergeCell ref="AE63:AE67"/>
    <mergeCell ref="AF63:AF67"/>
    <mergeCell ref="AE53:AE57"/>
    <mergeCell ref="AF53:AF57"/>
    <mergeCell ref="G39:I39"/>
    <mergeCell ref="AE58:AE62"/>
    <mergeCell ref="AF58:AF62"/>
    <mergeCell ref="AE48:AE52"/>
    <mergeCell ref="AF48:AF52"/>
    <mergeCell ref="G10:I10"/>
    <mergeCell ref="AI17:AJ17"/>
    <mergeCell ref="AA12:AA13"/>
    <mergeCell ref="AA43:AA44"/>
    <mergeCell ref="G21:I21"/>
    <mergeCell ref="AA23:AA24"/>
    <mergeCell ref="AI36:AJ36"/>
    <mergeCell ref="AE43:AE47"/>
    <mergeCell ref="AF43:AF47"/>
  </mergeCells>
  <phoneticPr fontId="9" type="noConversion"/>
  <conditionalFormatting sqref="J6:J7 L7 O7 Q7 S7 U7">
    <cfRule type="expression" dxfId="146" priority="277">
      <formula>J6=""</formula>
    </cfRule>
  </conditionalFormatting>
  <conditionalFormatting sqref="L6">
    <cfRule type="expression" dxfId="145" priority="276">
      <formula>L6=""</formula>
    </cfRule>
  </conditionalFormatting>
  <conditionalFormatting sqref="O6">
    <cfRule type="expression" dxfId="144" priority="275">
      <formula>O6=""</formula>
    </cfRule>
  </conditionalFormatting>
  <conditionalFormatting sqref="Q6">
    <cfRule type="expression" dxfId="143" priority="274">
      <formula>Q6=""</formula>
    </cfRule>
  </conditionalFormatting>
  <conditionalFormatting sqref="S6">
    <cfRule type="expression" dxfId="142" priority="273">
      <formula>S6=""</formula>
    </cfRule>
  </conditionalFormatting>
  <conditionalFormatting sqref="U6">
    <cfRule type="expression" dxfId="141" priority="272">
      <formula>U6=""</formula>
    </cfRule>
  </conditionalFormatting>
  <conditionalFormatting sqref="W6:W7 Y7">
    <cfRule type="expression" dxfId="140" priority="271">
      <formula>AND((W6=""),($J6-$L6=0))</formula>
    </cfRule>
  </conditionalFormatting>
  <conditionalFormatting sqref="Y6">
    <cfRule type="expression" dxfId="139" priority="270">
      <formula>AND((Y6=""),($J6-$L6=0))</formula>
    </cfRule>
  </conditionalFormatting>
  <conditionalFormatting sqref="J8">
    <cfRule type="expression" dxfId="138" priority="261">
      <formula>J8=""</formula>
    </cfRule>
  </conditionalFormatting>
  <conditionalFormatting sqref="L8">
    <cfRule type="expression" dxfId="137" priority="260">
      <formula>L8=""</formula>
    </cfRule>
  </conditionalFormatting>
  <conditionalFormatting sqref="O8">
    <cfRule type="expression" dxfId="136" priority="259">
      <formula>O8=""</formula>
    </cfRule>
  </conditionalFormatting>
  <conditionalFormatting sqref="Q8">
    <cfRule type="expression" dxfId="135" priority="258">
      <formula>Q8=""</formula>
    </cfRule>
  </conditionalFormatting>
  <conditionalFormatting sqref="S8">
    <cfRule type="expression" dxfId="134" priority="257">
      <formula>S8=""</formula>
    </cfRule>
  </conditionalFormatting>
  <conditionalFormatting sqref="U8">
    <cfRule type="expression" dxfId="133" priority="256">
      <formula>U8=""</formula>
    </cfRule>
  </conditionalFormatting>
  <conditionalFormatting sqref="W8">
    <cfRule type="expression" dxfId="132" priority="255">
      <formula>AND((W8=""),($J8-$L8=0))</formula>
    </cfRule>
  </conditionalFormatting>
  <conditionalFormatting sqref="Y8">
    <cfRule type="expression" dxfId="131" priority="254">
      <formula>AND((Y8=""),($J8-$L8=0))</formula>
    </cfRule>
  </conditionalFormatting>
  <conditionalFormatting sqref="J7">
    <cfRule type="expression" dxfId="130" priority="237">
      <formula>J7=""</formula>
    </cfRule>
  </conditionalFormatting>
  <conditionalFormatting sqref="L7">
    <cfRule type="expression" dxfId="129" priority="236">
      <formula>L7=""</formula>
    </cfRule>
  </conditionalFormatting>
  <conditionalFormatting sqref="O7">
    <cfRule type="expression" dxfId="128" priority="235">
      <formula>O7=""</formula>
    </cfRule>
  </conditionalFormatting>
  <conditionalFormatting sqref="Q7">
    <cfRule type="expression" dxfId="127" priority="234">
      <formula>Q7=""</formula>
    </cfRule>
  </conditionalFormatting>
  <conditionalFormatting sqref="S7">
    <cfRule type="expression" dxfId="126" priority="233">
      <formula>S7=""</formula>
    </cfRule>
  </conditionalFormatting>
  <conditionalFormatting sqref="U7">
    <cfRule type="expression" dxfId="125" priority="232">
      <formula>U7=""</formula>
    </cfRule>
  </conditionalFormatting>
  <conditionalFormatting sqref="J28 J30:J34 L30:L34 O30:O34 Q30:Q34 S30:S34 U30:U34 J37 L37 O37 Q37 S37 U37">
    <cfRule type="expression" dxfId="124" priority="133">
      <formula>J28=""</formula>
    </cfRule>
  </conditionalFormatting>
  <conditionalFormatting sqref="L28">
    <cfRule type="expression" dxfId="123" priority="132">
      <formula>L28=""</formula>
    </cfRule>
  </conditionalFormatting>
  <conditionalFormatting sqref="O28">
    <cfRule type="expression" dxfId="122" priority="131">
      <formula>O28=""</formula>
    </cfRule>
  </conditionalFormatting>
  <conditionalFormatting sqref="Q28">
    <cfRule type="expression" dxfId="121" priority="130">
      <formula>Q28=""</formula>
    </cfRule>
  </conditionalFormatting>
  <conditionalFormatting sqref="S28">
    <cfRule type="expression" dxfId="120" priority="129">
      <formula>S28=""</formula>
    </cfRule>
  </conditionalFormatting>
  <conditionalFormatting sqref="U28">
    <cfRule type="expression" dxfId="119" priority="128">
      <formula>U28=""</formula>
    </cfRule>
  </conditionalFormatting>
  <conditionalFormatting sqref="W28 W30:W34 Y30:Y34 W37 Y37">
    <cfRule type="expression" dxfId="118" priority="127">
      <formula>AND((W28=""),($J28-$L28=0))</formula>
    </cfRule>
  </conditionalFormatting>
  <conditionalFormatting sqref="Y28">
    <cfRule type="expression" dxfId="117" priority="126">
      <formula>AND((Y28=""),($J28-$L28=0))</formula>
    </cfRule>
  </conditionalFormatting>
  <conditionalFormatting sqref="J29">
    <cfRule type="expression" dxfId="116" priority="125">
      <formula>J29=""</formula>
    </cfRule>
  </conditionalFormatting>
  <conditionalFormatting sqref="L29">
    <cfRule type="expression" dxfId="115" priority="124">
      <formula>L29=""</formula>
    </cfRule>
  </conditionalFormatting>
  <conditionalFormatting sqref="O29">
    <cfRule type="expression" dxfId="114" priority="123">
      <formula>O29=""</formula>
    </cfRule>
  </conditionalFormatting>
  <conditionalFormatting sqref="Q29">
    <cfRule type="expression" dxfId="113" priority="122">
      <formula>Q29=""</formula>
    </cfRule>
  </conditionalFormatting>
  <conditionalFormatting sqref="S29">
    <cfRule type="expression" dxfId="112" priority="121">
      <formula>S29=""</formula>
    </cfRule>
  </conditionalFormatting>
  <conditionalFormatting sqref="U29">
    <cfRule type="expression" dxfId="111" priority="120">
      <formula>U29=""</formula>
    </cfRule>
  </conditionalFormatting>
  <conditionalFormatting sqref="W29">
    <cfRule type="expression" dxfId="110" priority="119">
      <formula>AND((W29=""),($J29-$L29=0))</formula>
    </cfRule>
  </conditionalFormatting>
  <conditionalFormatting sqref="Y29">
    <cfRule type="expression" dxfId="109" priority="118">
      <formula>AND((Y29=""),($J29-$L29=0))</formula>
    </cfRule>
  </conditionalFormatting>
  <conditionalFormatting sqref="J35">
    <cfRule type="expression" dxfId="108" priority="117">
      <formula>J35=""</formula>
    </cfRule>
  </conditionalFormatting>
  <conditionalFormatting sqref="L35">
    <cfRule type="expression" dxfId="107" priority="116">
      <formula>L35=""</formula>
    </cfRule>
  </conditionalFormatting>
  <conditionalFormatting sqref="O35">
    <cfRule type="expression" dxfId="106" priority="115">
      <formula>O35=""</formula>
    </cfRule>
  </conditionalFormatting>
  <conditionalFormatting sqref="Q35">
    <cfRule type="expression" dxfId="105" priority="114">
      <formula>Q35=""</formula>
    </cfRule>
  </conditionalFormatting>
  <conditionalFormatting sqref="S35">
    <cfRule type="expression" dxfId="104" priority="113">
      <formula>S35=""</formula>
    </cfRule>
  </conditionalFormatting>
  <conditionalFormatting sqref="U35">
    <cfRule type="expression" dxfId="103" priority="112">
      <formula>U35=""</formula>
    </cfRule>
  </conditionalFormatting>
  <conditionalFormatting sqref="W35">
    <cfRule type="expression" dxfId="102" priority="111">
      <formula>AND((W35=""),($J35-$L35=0))</formula>
    </cfRule>
  </conditionalFormatting>
  <conditionalFormatting sqref="Y35">
    <cfRule type="expression" dxfId="101" priority="110">
      <formula>AND((Y35=""),($J35-$L35=0))</formula>
    </cfRule>
  </conditionalFormatting>
  <conditionalFormatting sqref="J36">
    <cfRule type="expression" dxfId="100" priority="109">
      <formula>J36=""</formula>
    </cfRule>
  </conditionalFormatting>
  <conditionalFormatting sqref="L36">
    <cfRule type="expression" dxfId="99" priority="108">
      <formula>L36=""</formula>
    </cfRule>
  </conditionalFormatting>
  <conditionalFormatting sqref="O36">
    <cfRule type="expression" dxfId="98" priority="107">
      <formula>O36=""</formula>
    </cfRule>
  </conditionalFormatting>
  <conditionalFormatting sqref="Q36">
    <cfRule type="expression" dxfId="97" priority="106">
      <formula>Q36=""</formula>
    </cfRule>
  </conditionalFormatting>
  <conditionalFormatting sqref="S36">
    <cfRule type="expression" dxfId="96" priority="105">
      <formula>S36=""</formula>
    </cfRule>
  </conditionalFormatting>
  <conditionalFormatting sqref="U36">
    <cfRule type="expression" dxfId="95" priority="104">
      <formula>U36=""</formula>
    </cfRule>
  </conditionalFormatting>
  <conditionalFormatting sqref="W36">
    <cfRule type="expression" dxfId="94" priority="103">
      <formula>AND((W36=""),($J36-$L36=0))</formula>
    </cfRule>
  </conditionalFormatting>
  <conditionalFormatting sqref="Y36">
    <cfRule type="expression" dxfId="93" priority="102">
      <formula>AND((Y36=""),($J36-$L36=0))</formula>
    </cfRule>
  </conditionalFormatting>
  <conditionalFormatting sqref="J33">
    <cfRule type="expression" dxfId="92" priority="101">
      <formula>J33=""</formula>
    </cfRule>
  </conditionalFormatting>
  <conditionalFormatting sqref="L33">
    <cfRule type="expression" dxfId="91" priority="100">
      <formula>L33=""</formula>
    </cfRule>
  </conditionalFormatting>
  <conditionalFormatting sqref="O33">
    <cfRule type="expression" dxfId="90" priority="99">
      <formula>O33=""</formula>
    </cfRule>
  </conditionalFormatting>
  <conditionalFormatting sqref="Q33">
    <cfRule type="expression" dxfId="89" priority="98">
      <formula>Q33=""</formula>
    </cfRule>
  </conditionalFormatting>
  <conditionalFormatting sqref="S33">
    <cfRule type="expression" dxfId="88" priority="97">
      <formula>S33=""</formula>
    </cfRule>
  </conditionalFormatting>
  <conditionalFormatting sqref="U33">
    <cfRule type="expression" dxfId="87" priority="96">
      <formula>U33=""</formula>
    </cfRule>
  </conditionalFormatting>
  <conditionalFormatting sqref="J31">
    <cfRule type="expression" dxfId="86" priority="95">
      <formula>J31=""</formula>
    </cfRule>
  </conditionalFormatting>
  <conditionalFormatting sqref="L31">
    <cfRule type="expression" dxfId="85" priority="94">
      <formula>L31=""</formula>
    </cfRule>
  </conditionalFormatting>
  <conditionalFormatting sqref="O31">
    <cfRule type="expression" dxfId="84" priority="93">
      <formula>O31=""</formula>
    </cfRule>
  </conditionalFormatting>
  <conditionalFormatting sqref="Q31">
    <cfRule type="expression" dxfId="83" priority="92">
      <formula>Q31=""</formula>
    </cfRule>
  </conditionalFormatting>
  <conditionalFormatting sqref="S31">
    <cfRule type="expression" dxfId="82" priority="91">
      <formula>S31=""</formula>
    </cfRule>
  </conditionalFormatting>
  <conditionalFormatting sqref="U31">
    <cfRule type="expression" dxfId="81" priority="90">
      <formula>U31=""</formula>
    </cfRule>
  </conditionalFormatting>
  <conditionalFormatting sqref="J64">
    <cfRule type="expression" dxfId="80" priority="32">
      <formula>J64=""</formula>
    </cfRule>
  </conditionalFormatting>
  <conditionalFormatting sqref="L64">
    <cfRule type="expression" dxfId="79" priority="31">
      <formula>L64=""</formula>
    </cfRule>
  </conditionalFormatting>
  <conditionalFormatting sqref="O64">
    <cfRule type="expression" dxfId="78" priority="30">
      <formula>O64=""</formula>
    </cfRule>
  </conditionalFormatting>
  <conditionalFormatting sqref="Q64">
    <cfRule type="expression" dxfId="77" priority="29">
      <formula>Q64=""</formula>
    </cfRule>
  </conditionalFormatting>
  <conditionalFormatting sqref="S64">
    <cfRule type="expression" dxfId="76" priority="28">
      <formula>S64=""</formula>
    </cfRule>
  </conditionalFormatting>
  <conditionalFormatting sqref="AA12:AA13">
    <cfRule type="expression" dxfId="75" priority="81">
      <formula>$BR$8=0</formula>
    </cfRule>
  </conditionalFormatting>
  <conditionalFormatting sqref="AA43:AA44">
    <cfRule type="expression" dxfId="74" priority="80">
      <formula>$BR$46=0</formula>
    </cfRule>
  </conditionalFormatting>
  <conditionalFormatting sqref="J17:J18 L18 O18 Q18 S18 U18">
    <cfRule type="expression" dxfId="73" priority="79">
      <formula>J17=""</formula>
    </cfRule>
  </conditionalFormatting>
  <conditionalFormatting sqref="L17">
    <cfRule type="expression" dxfId="72" priority="78">
      <formula>L17=""</formula>
    </cfRule>
  </conditionalFormatting>
  <conditionalFormatting sqref="O17">
    <cfRule type="expression" dxfId="71" priority="77">
      <formula>O17=""</formula>
    </cfRule>
  </conditionalFormatting>
  <conditionalFormatting sqref="Q17">
    <cfRule type="expression" dxfId="70" priority="76">
      <formula>Q17=""</formula>
    </cfRule>
  </conditionalFormatting>
  <conditionalFormatting sqref="S17">
    <cfRule type="expression" dxfId="69" priority="75">
      <formula>S17=""</formula>
    </cfRule>
  </conditionalFormatting>
  <conditionalFormatting sqref="U17">
    <cfRule type="expression" dxfId="68" priority="74">
      <formula>U17=""</formula>
    </cfRule>
  </conditionalFormatting>
  <conditionalFormatting sqref="W17:W18 Y18">
    <cfRule type="expression" dxfId="67" priority="73">
      <formula>AND((W17=""),($J17-$L17=0))</formula>
    </cfRule>
  </conditionalFormatting>
  <conditionalFormatting sqref="Y17">
    <cfRule type="expression" dxfId="66" priority="72">
      <formula>AND((Y17=""),($J17-$L17=0))</formula>
    </cfRule>
  </conditionalFormatting>
  <conditionalFormatting sqref="J19">
    <cfRule type="expression" dxfId="65" priority="71">
      <formula>J19=""</formula>
    </cfRule>
  </conditionalFormatting>
  <conditionalFormatting sqref="L19">
    <cfRule type="expression" dxfId="64" priority="70">
      <formula>L19=""</formula>
    </cfRule>
  </conditionalFormatting>
  <conditionalFormatting sqref="O19">
    <cfRule type="expression" dxfId="63" priority="69">
      <formula>O19=""</formula>
    </cfRule>
  </conditionalFormatting>
  <conditionalFormatting sqref="Q19">
    <cfRule type="expression" dxfId="62" priority="68">
      <formula>Q19=""</formula>
    </cfRule>
  </conditionalFormatting>
  <conditionalFormatting sqref="S19">
    <cfRule type="expression" dxfId="61" priority="67">
      <formula>S19=""</formula>
    </cfRule>
  </conditionalFormatting>
  <conditionalFormatting sqref="U19">
    <cfRule type="expression" dxfId="60" priority="66">
      <formula>U19=""</formula>
    </cfRule>
  </conditionalFormatting>
  <conditionalFormatting sqref="W19">
    <cfRule type="expression" dxfId="59" priority="65">
      <formula>AND((W19=""),($J19-$L19=0))</formula>
    </cfRule>
  </conditionalFormatting>
  <conditionalFormatting sqref="Y19">
    <cfRule type="expression" dxfId="58" priority="64">
      <formula>AND((Y19=""),($J19-$L19=0))</formula>
    </cfRule>
  </conditionalFormatting>
  <conditionalFormatting sqref="J18">
    <cfRule type="expression" dxfId="57" priority="63">
      <formula>J18=""</formula>
    </cfRule>
  </conditionalFormatting>
  <conditionalFormatting sqref="L18">
    <cfRule type="expression" dxfId="56" priority="62">
      <formula>L18=""</formula>
    </cfRule>
  </conditionalFormatting>
  <conditionalFormatting sqref="O18">
    <cfRule type="expression" dxfId="55" priority="61">
      <formula>O18=""</formula>
    </cfRule>
  </conditionalFormatting>
  <conditionalFormatting sqref="Q18">
    <cfRule type="expression" dxfId="54" priority="60">
      <formula>Q18=""</formula>
    </cfRule>
  </conditionalFormatting>
  <conditionalFormatting sqref="S18">
    <cfRule type="expression" dxfId="53" priority="59">
      <formula>S18=""</formula>
    </cfRule>
  </conditionalFormatting>
  <conditionalFormatting sqref="U18">
    <cfRule type="expression" dxfId="52" priority="58">
      <formula>U18=""</formula>
    </cfRule>
  </conditionalFormatting>
  <conditionalFormatting sqref="AA23:AA24">
    <cfRule type="expression" dxfId="51" priority="57">
      <formula>$BR$8=0</formula>
    </cfRule>
  </conditionalFormatting>
  <conditionalFormatting sqref="J54">
    <cfRule type="expression" dxfId="50" priority="56">
      <formula>J54=""</formula>
    </cfRule>
  </conditionalFormatting>
  <conditionalFormatting sqref="L54">
    <cfRule type="expression" dxfId="49" priority="55">
      <formula>L54=""</formula>
    </cfRule>
  </conditionalFormatting>
  <conditionalFormatting sqref="O54">
    <cfRule type="expression" dxfId="48" priority="54">
      <formula>O54=""</formula>
    </cfRule>
  </conditionalFormatting>
  <conditionalFormatting sqref="Q54">
    <cfRule type="expression" dxfId="47" priority="53">
      <formula>Q54=""</formula>
    </cfRule>
  </conditionalFormatting>
  <conditionalFormatting sqref="S54">
    <cfRule type="expression" dxfId="46" priority="52">
      <formula>S54=""</formula>
    </cfRule>
  </conditionalFormatting>
  <conditionalFormatting sqref="U54">
    <cfRule type="expression" dxfId="45" priority="51">
      <formula>U54=""</formula>
    </cfRule>
  </conditionalFormatting>
  <conditionalFormatting sqref="W54">
    <cfRule type="expression" dxfId="44" priority="50">
      <formula>AND((W54=""),($J54-$L54=0))</formula>
    </cfRule>
  </conditionalFormatting>
  <conditionalFormatting sqref="Y54">
    <cfRule type="expression" dxfId="43" priority="49">
      <formula>AND((Y54=""),($J54-$L54=0))</formula>
    </cfRule>
  </conditionalFormatting>
  <conditionalFormatting sqref="J56">
    <cfRule type="expression" dxfId="42" priority="48">
      <formula>J56=""</formula>
    </cfRule>
  </conditionalFormatting>
  <conditionalFormatting sqref="L56">
    <cfRule type="expression" dxfId="41" priority="47">
      <formula>L56=""</formula>
    </cfRule>
  </conditionalFormatting>
  <conditionalFormatting sqref="O56">
    <cfRule type="expression" dxfId="40" priority="46">
      <formula>O56=""</formula>
    </cfRule>
  </conditionalFormatting>
  <conditionalFormatting sqref="Q56">
    <cfRule type="expression" dxfId="39" priority="45">
      <formula>Q56=""</formula>
    </cfRule>
  </conditionalFormatting>
  <conditionalFormatting sqref="S56">
    <cfRule type="expression" dxfId="38" priority="44">
      <formula>S56=""</formula>
    </cfRule>
  </conditionalFormatting>
  <conditionalFormatting sqref="U56">
    <cfRule type="expression" dxfId="37" priority="43">
      <formula>U56=""</formula>
    </cfRule>
  </conditionalFormatting>
  <conditionalFormatting sqref="W56">
    <cfRule type="expression" dxfId="36" priority="42">
      <formula>AND((W56=""),($J56-$L56=0))</formula>
    </cfRule>
  </conditionalFormatting>
  <conditionalFormatting sqref="Y56">
    <cfRule type="expression" dxfId="35" priority="41">
      <formula>AND((Y56=""),($J56-$L56=0))</formula>
    </cfRule>
  </conditionalFormatting>
  <conditionalFormatting sqref="J62">
    <cfRule type="expression" dxfId="34" priority="40">
      <formula>J62=""</formula>
    </cfRule>
  </conditionalFormatting>
  <conditionalFormatting sqref="L62">
    <cfRule type="expression" dxfId="33" priority="39">
      <formula>L62=""</formula>
    </cfRule>
  </conditionalFormatting>
  <conditionalFormatting sqref="O62">
    <cfRule type="expression" dxfId="32" priority="38">
      <formula>O62=""</formula>
    </cfRule>
  </conditionalFormatting>
  <conditionalFormatting sqref="Q62">
    <cfRule type="expression" dxfId="31" priority="37">
      <formula>Q62=""</formula>
    </cfRule>
  </conditionalFormatting>
  <conditionalFormatting sqref="S62">
    <cfRule type="expression" dxfId="30" priority="36">
      <formula>S62=""</formula>
    </cfRule>
  </conditionalFormatting>
  <conditionalFormatting sqref="U62">
    <cfRule type="expression" dxfId="29" priority="35">
      <formula>U62=""</formula>
    </cfRule>
  </conditionalFormatting>
  <conditionalFormatting sqref="W62">
    <cfRule type="expression" dxfId="28" priority="34">
      <formula>AND((W62=""),($J62-$L62=0))</formula>
    </cfRule>
  </conditionalFormatting>
  <conditionalFormatting sqref="Y62">
    <cfRule type="expression" dxfId="27" priority="33">
      <formula>AND((Y62=""),($J62-$L62=0))</formula>
    </cfRule>
  </conditionalFormatting>
  <conditionalFormatting sqref="U64">
    <cfRule type="expression" dxfId="26" priority="27">
      <formula>U64=""</formula>
    </cfRule>
  </conditionalFormatting>
  <conditionalFormatting sqref="W64">
    <cfRule type="expression" dxfId="25" priority="26">
      <formula>AND((W64=""),($J64-$L64=0))</formula>
    </cfRule>
  </conditionalFormatting>
  <conditionalFormatting sqref="Y64">
    <cfRule type="expression" dxfId="24" priority="25">
      <formula>AND((Y64=""),($J64-$L64=0))</formula>
    </cfRule>
  </conditionalFormatting>
  <conditionalFormatting sqref="J70">
    <cfRule type="expression" dxfId="23" priority="24">
      <formula>J70=""</formula>
    </cfRule>
  </conditionalFormatting>
  <conditionalFormatting sqref="L70">
    <cfRule type="expression" dxfId="22" priority="23">
      <formula>L70=""</formula>
    </cfRule>
  </conditionalFormatting>
  <conditionalFormatting sqref="O70">
    <cfRule type="expression" dxfId="21" priority="22">
      <formula>O70=""</formula>
    </cfRule>
  </conditionalFormatting>
  <conditionalFormatting sqref="Q70">
    <cfRule type="expression" dxfId="20" priority="21">
      <formula>Q70=""</formula>
    </cfRule>
  </conditionalFormatting>
  <conditionalFormatting sqref="S70">
    <cfRule type="expression" dxfId="19" priority="20">
      <formula>S70=""</formula>
    </cfRule>
  </conditionalFormatting>
  <conditionalFormatting sqref="U70">
    <cfRule type="expression" dxfId="18" priority="19">
      <formula>U70=""</formula>
    </cfRule>
  </conditionalFormatting>
  <conditionalFormatting sqref="W70">
    <cfRule type="expression" dxfId="17" priority="18">
      <formula>AND((W70=""),($J70-$L70=0))</formula>
    </cfRule>
  </conditionalFormatting>
  <conditionalFormatting sqref="Y70">
    <cfRule type="expression" dxfId="16" priority="17">
      <formula>AND((Y70=""),($J70-$L70=0))</formula>
    </cfRule>
  </conditionalFormatting>
  <conditionalFormatting sqref="J72">
    <cfRule type="expression" dxfId="15" priority="16">
      <formula>J72=""</formula>
    </cfRule>
  </conditionalFormatting>
  <conditionalFormatting sqref="L72">
    <cfRule type="expression" dxfId="14" priority="15">
      <formula>L72=""</formula>
    </cfRule>
  </conditionalFormatting>
  <conditionalFormatting sqref="O72">
    <cfRule type="expression" dxfId="13" priority="14">
      <formula>O72=""</formula>
    </cfRule>
  </conditionalFormatting>
  <conditionalFormatting sqref="Q72">
    <cfRule type="expression" dxfId="12" priority="13">
      <formula>Q72=""</formula>
    </cfRule>
  </conditionalFormatting>
  <conditionalFormatting sqref="S72">
    <cfRule type="expression" dxfId="11" priority="12">
      <formula>S72=""</formula>
    </cfRule>
  </conditionalFormatting>
  <conditionalFormatting sqref="U72">
    <cfRule type="expression" dxfId="10" priority="11">
      <formula>U72=""</formula>
    </cfRule>
  </conditionalFormatting>
  <conditionalFormatting sqref="W72">
    <cfRule type="expression" dxfId="9" priority="10">
      <formula>AND((W72=""),($J72-$L72=0))</formula>
    </cfRule>
  </conditionalFormatting>
  <conditionalFormatting sqref="Y72">
    <cfRule type="expression" dxfId="8" priority="9">
      <formula>AND((Y72=""),($J72-$L72=0))</formula>
    </cfRule>
  </conditionalFormatting>
  <conditionalFormatting sqref="J74">
    <cfRule type="expression" dxfId="7" priority="8">
      <formula>J74=""</formula>
    </cfRule>
  </conditionalFormatting>
  <conditionalFormatting sqref="L74">
    <cfRule type="expression" dxfId="6" priority="7">
      <formula>L74=""</formula>
    </cfRule>
  </conditionalFormatting>
  <conditionalFormatting sqref="O74">
    <cfRule type="expression" dxfId="5" priority="6">
      <formula>O74=""</formula>
    </cfRule>
  </conditionalFormatting>
  <conditionalFormatting sqref="Q74">
    <cfRule type="expression" dxfId="4" priority="5">
      <formula>Q74=""</formula>
    </cfRule>
  </conditionalFormatting>
  <conditionalFormatting sqref="S74">
    <cfRule type="expression" dxfId="3" priority="4">
      <formula>S74=""</formula>
    </cfRule>
  </conditionalFormatting>
  <conditionalFormatting sqref="U74">
    <cfRule type="expression" dxfId="2" priority="3">
      <formula>U74=""</formula>
    </cfRule>
  </conditionalFormatting>
  <conditionalFormatting sqref="W74">
    <cfRule type="expression" dxfId="1" priority="2">
      <formula>AND((W74=""),($J74-$L74=0))</formula>
    </cfRule>
  </conditionalFormatting>
  <conditionalFormatting sqref="Y74">
    <cfRule type="expression" dxfId="0" priority="1">
      <formula>AND((Y74=""),($J74-$L74=0))</formula>
    </cfRule>
  </conditionalFormatting>
  <pageMargins left="0.59055118110236227" right="0.59055118110236227" top="0.9055118110236221" bottom="0.78740157480314965" header="0.59055118110236227" footer="0.47244094488188981"/>
  <pageSetup paperSize="9" scale="95" orientation="portrait" r:id="rId1"/>
  <headerFooter>
    <oddHeader>&amp;R&amp;G</oddHeader>
    <oddFooter>&amp;L&amp;7Christian Götsch, Spielleiter U12
Haldenstrasse 15, 8357 Guntershausen
Mobil 078 711 66 45
ch.christian.goetsch@gmail.com
www.faustball-ostschweiz.ch&amp;R&amp;G</oddFooter>
  </headerFooter>
  <rowBreaks count="1" manualBreakCount="1">
    <brk id="46" max="25" man="1"/>
  </rowBreaks>
  <ignoredErrors>
    <ignoredError sqref="AJ11:AO11 AJ9:AO9" formula="1"/>
    <ignoredError sqref="B11 B40:B44 AB12:AC12 B13:Z13 D11 H11 J11:AC11 B12:H12 J12:Z12" numberStoredAsText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rgb="FFFFC000"/>
  </sheetPr>
  <dimension ref="A1:BK51"/>
  <sheetViews>
    <sheetView tabSelected="1" zoomScaleNormal="100" workbookViewId="0">
      <selection activeCell="G37" sqref="G37"/>
    </sheetView>
  </sheetViews>
  <sheetFormatPr baseColWidth="10" defaultColWidth="11.44140625" defaultRowHeight="13.2" customHeight="1" x14ac:dyDescent="0.25"/>
  <cols>
    <col min="1" max="1" width="7.6640625" style="13" customWidth="1"/>
    <col min="2" max="2" width="5" style="13" customWidth="1"/>
    <col min="3" max="9" width="18" style="13" customWidth="1"/>
    <col min="10" max="10" width="18" style="7" customWidth="1"/>
    <col min="11" max="11" width="18" style="13" customWidth="1"/>
    <col min="12" max="13" width="18" style="7" customWidth="1"/>
    <col min="14" max="14" width="18" style="13" customWidth="1"/>
    <col min="15" max="15" width="18" style="14" customWidth="1"/>
    <col min="16" max="16" width="18" style="13" customWidth="1"/>
    <col min="17" max="17" width="18" style="14" customWidth="1"/>
    <col min="18" max="18" width="18" style="13" customWidth="1"/>
    <col min="19" max="19" width="18" style="14" customWidth="1"/>
    <col min="20" max="20" width="18" style="13" customWidth="1"/>
    <col min="21" max="21" width="18" style="14" customWidth="1"/>
    <col min="22" max="22" width="18" style="13" customWidth="1"/>
    <col min="23" max="23" width="18" style="14" customWidth="1"/>
    <col min="24" max="24" width="18" style="13" customWidth="1"/>
    <col min="25" max="25" width="18" style="14" customWidth="1"/>
    <col min="26" max="26" width="18" style="13" customWidth="1"/>
    <col min="27" max="27" width="29.6640625" style="13" customWidth="1"/>
    <col min="28" max="29" width="3.44140625" style="13" hidden="1" customWidth="1"/>
    <col min="30" max="30" width="11.44140625" style="13" hidden="1" customWidth="1"/>
    <col min="31" max="31" width="3.44140625" style="13" hidden="1" customWidth="1"/>
    <col min="32" max="32" width="23.5546875" style="13" hidden="1" customWidth="1"/>
    <col min="33" max="33" width="3.5546875" style="7" hidden="1" customWidth="1"/>
    <col min="34" max="63" width="4.44140625" style="13" hidden="1" customWidth="1"/>
    <col min="64" max="16384" width="11.44140625" style="13"/>
  </cols>
  <sheetData>
    <row r="1" spans="1:33" s="67" customFormat="1" ht="15.6" customHeight="1" x14ac:dyDescent="0.25">
      <c r="A1" s="74" t="str">
        <f>CONCATENATE(MASTER!B1, " ", MASTER!B8, " - Kat. ", MASTER!B10)</f>
        <v>Ostschweizer Meisterschaft Halle 2019/2020 - Kat. U14</v>
      </c>
      <c r="J1" s="6"/>
      <c r="L1" s="6"/>
      <c r="M1" s="6"/>
      <c r="O1" s="68"/>
      <c r="Q1" s="68"/>
      <c r="S1" s="68"/>
      <c r="U1" s="68"/>
      <c r="W1" s="68"/>
      <c r="Y1" s="68"/>
      <c r="AD1" s="69">
        <f ca="1">TODAY()</f>
        <v>43814</v>
      </c>
      <c r="AG1" s="6"/>
    </row>
    <row r="2" spans="1:33" s="67" customFormat="1" ht="15.6" customHeight="1" x14ac:dyDescent="0.3">
      <c r="A2" s="86" t="str">
        <f>CONCATENATE(MASTER!B3," / ",MASTER!C3)</f>
        <v>So. 15.12.2019 / Aadorf, Löhracker</v>
      </c>
      <c r="J2" s="6"/>
      <c r="L2" s="6"/>
      <c r="M2" s="6"/>
      <c r="O2" s="68"/>
      <c r="Q2" s="68"/>
      <c r="S2" s="68"/>
      <c r="U2" s="68"/>
      <c r="W2" s="68"/>
      <c r="Y2" s="68"/>
      <c r="AD2" s="69"/>
      <c r="AG2" s="6"/>
    </row>
    <row r="3" spans="1:33" s="67" customFormat="1" ht="15.6" customHeight="1" x14ac:dyDescent="0.25">
      <c r="A3" s="74"/>
      <c r="J3" s="6"/>
      <c r="L3" s="6"/>
      <c r="M3" s="6"/>
      <c r="O3" s="68"/>
      <c r="Q3" s="68"/>
      <c r="S3" s="68"/>
      <c r="U3" s="68"/>
      <c r="W3" s="68"/>
      <c r="Y3" s="68"/>
      <c r="AD3" s="69"/>
      <c r="AG3" s="6"/>
    </row>
    <row r="4" spans="1:33" s="67" customFormat="1" ht="15.6" customHeight="1" x14ac:dyDescent="0.25">
      <c r="A4" s="74"/>
      <c r="J4" s="6"/>
      <c r="L4" s="6"/>
      <c r="M4" s="6"/>
      <c r="O4" s="68"/>
      <c r="Q4" s="68"/>
      <c r="S4" s="68"/>
      <c r="U4" s="68"/>
      <c r="W4" s="68"/>
      <c r="Y4" s="68"/>
      <c r="AD4" s="69"/>
      <c r="AG4" s="6"/>
    </row>
    <row r="5" spans="1:33" s="67" customFormat="1" ht="15.6" customHeight="1" x14ac:dyDescent="0.25">
      <c r="A5" s="75"/>
      <c r="J5" s="6"/>
      <c r="L5" s="6"/>
      <c r="M5" s="6"/>
      <c r="O5" s="68"/>
      <c r="Q5" s="68"/>
      <c r="S5" s="68"/>
      <c r="U5" s="68"/>
      <c r="W5" s="68"/>
      <c r="Y5" s="68"/>
      <c r="AG5" s="6"/>
    </row>
    <row r="6" spans="1:33" s="67" customFormat="1" ht="17.25" customHeight="1" x14ac:dyDescent="0.25">
      <c r="A6" s="66"/>
      <c r="B6" s="75" t="s">
        <v>139</v>
      </c>
      <c r="J6" s="6"/>
      <c r="L6" s="6"/>
      <c r="M6" s="6"/>
      <c r="O6" s="68"/>
      <c r="Q6" s="68"/>
      <c r="S6" s="68"/>
      <c r="U6" s="68"/>
      <c r="W6" s="68"/>
      <c r="Y6" s="68"/>
      <c r="AG6" s="6"/>
    </row>
    <row r="7" spans="1:33" s="67" customFormat="1" ht="17.25" customHeight="1" x14ac:dyDescent="0.25">
      <c r="A7" s="66"/>
      <c r="B7" s="75"/>
      <c r="J7" s="6"/>
      <c r="L7" s="6"/>
      <c r="M7" s="6"/>
      <c r="O7" s="68"/>
      <c r="Q7" s="68"/>
      <c r="S7" s="68"/>
      <c r="U7" s="68"/>
      <c r="W7" s="68"/>
      <c r="Y7" s="68"/>
      <c r="AG7" s="6"/>
    </row>
    <row r="8" spans="1:33" s="67" customFormat="1" ht="15" customHeight="1" x14ac:dyDescent="0.25">
      <c r="A8" s="66"/>
      <c r="J8" s="6"/>
      <c r="L8" s="6"/>
      <c r="M8" s="6"/>
      <c r="O8" s="68"/>
      <c r="Q8" s="68"/>
      <c r="S8" s="68"/>
      <c r="U8" s="68"/>
      <c r="W8" s="68"/>
      <c r="Y8" s="68"/>
      <c r="AG8" s="6"/>
    </row>
    <row r="9" spans="1:33" s="67" customFormat="1" ht="20.25" customHeight="1" x14ac:dyDescent="0.25">
      <c r="A9" s="66"/>
      <c r="B9" s="304" t="s">
        <v>18</v>
      </c>
      <c r="C9" s="302" t="str">
        <f>CONCATENATE('Resultate VR'!AB74," (OSTSCHWEIZERMEISTER)")</f>
        <v>FBV Ettenhausen  (OSTSCHWEIZERMEISTER)</v>
      </c>
      <c r="J9" s="6"/>
      <c r="L9" s="6"/>
      <c r="M9" s="6"/>
      <c r="O9" s="68"/>
      <c r="Q9" s="68"/>
      <c r="S9" s="68"/>
      <c r="U9" s="68"/>
      <c r="W9" s="68"/>
      <c r="Y9" s="68"/>
      <c r="AG9" s="6"/>
    </row>
    <row r="10" spans="1:33" s="67" customFormat="1" ht="20.25" customHeight="1" x14ac:dyDescent="0.25">
      <c r="A10" s="66"/>
      <c r="B10" s="305" t="s">
        <v>19</v>
      </c>
      <c r="C10" s="303" t="str">
        <f>'Resultate VR'!AC74</f>
        <v>FG RiWi 2</v>
      </c>
      <c r="J10" s="6"/>
      <c r="L10" s="6"/>
      <c r="M10" s="6"/>
      <c r="O10" s="68"/>
      <c r="Q10" s="68"/>
      <c r="S10" s="68"/>
      <c r="U10" s="68"/>
      <c r="W10" s="68"/>
      <c r="Y10" s="68"/>
      <c r="AG10" s="6"/>
    </row>
    <row r="11" spans="1:33" s="67" customFormat="1" ht="20.25" customHeight="1" x14ac:dyDescent="0.25">
      <c r="A11" s="66"/>
      <c r="B11" s="305" t="s">
        <v>20</v>
      </c>
      <c r="C11" s="303" t="str">
        <f>'Resultate VR'!AB72</f>
        <v>SVD Diepoldsau</v>
      </c>
      <c r="J11" s="6"/>
      <c r="L11" s="6"/>
      <c r="M11" s="6"/>
      <c r="O11" s="68"/>
      <c r="Q11" s="68"/>
      <c r="S11" s="68"/>
      <c r="U11" s="68"/>
      <c r="W11" s="68"/>
      <c r="Y11" s="68"/>
      <c r="AG11" s="6"/>
    </row>
    <row r="12" spans="1:33" s="67" customFormat="1" ht="20.25" customHeight="1" x14ac:dyDescent="0.25">
      <c r="A12" s="66"/>
      <c r="B12" s="305" t="s">
        <v>21</v>
      </c>
      <c r="C12" s="303" t="str">
        <f>'Resultate VR'!AC72</f>
        <v>STV Affeltrangen</v>
      </c>
      <c r="J12" s="6"/>
      <c r="L12" s="6"/>
      <c r="M12" s="6"/>
      <c r="O12" s="68"/>
      <c r="Q12" s="68"/>
      <c r="S12" s="68"/>
      <c r="U12" s="68"/>
      <c r="W12" s="68"/>
      <c r="Y12" s="68"/>
      <c r="AG12" s="6"/>
    </row>
    <row r="13" spans="1:33" s="67" customFormat="1" ht="20.25" customHeight="1" x14ac:dyDescent="0.25">
      <c r="A13" s="66"/>
      <c r="B13" s="305" t="s">
        <v>48</v>
      </c>
      <c r="C13" s="303" t="str">
        <f>'Resultate VR'!AB70</f>
        <v>TS Höchst</v>
      </c>
      <c r="J13" s="6"/>
      <c r="L13" s="6"/>
      <c r="M13" s="6"/>
      <c r="O13" s="68"/>
      <c r="Q13" s="68"/>
      <c r="S13" s="68"/>
      <c r="U13" s="68"/>
      <c r="W13" s="68"/>
      <c r="Y13" s="68"/>
      <c r="AG13" s="6"/>
    </row>
    <row r="14" spans="1:33" s="67" customFormat="1" ht="20.25" customHeight="1" x14ac:dyDescent="0.25">
      <c r="A14" s="66"/>
      <c r="B14" s="305" t="s">
        <v>165</v>
      </c>
      <c r="C14" s="303" t="str">
        <f>'Resultate VR'!AC70</f>
        <v>FBT Flums</v>
      </c>
      <c r="J14" s="6"/>
      <c r="L14" s="6"/>
      <c r="M14" s="6"/>
      <c r="O14" s="68"/>
      <c r="Q14" s="68"/>
      <c r="S14" s="68"/>
      <c r="U14" s="68"/>
      <c r="W14" s="68"/>
      <c r="Y14" s="68"/>
      <c r="AG14" s="6"/>
    </row>
    <row r="15" spans="1:33" s="67" customFormat="1" ht="20.25" customHeight="1" x14ac:dyDescent="0.25">
      <c r="A15" s="66"/>
      <c r="B15" s="305" t="s">
        <v>166</v>
      </c>
      <c r="C15" s="303" t="str">
        <f>'Resultate VR'!C40</f>
        <v>FG RiWi 1</v>
      </c>
      <c r="J15" s="6"/>
      <c r="L15" s="6"/>
      <c r="M15" s="6"/>
      <c r="O15" s="68"/>
      <c r="Q15" s="68"/>
      <c r="S15" s="68"/>
      <c r="U15" s="68"/>
      <c r="W15" s="68"/>
      <c r="Y15" s="68"/>
      <c r="AG15" s="6"/>
    </row>
    <row r="16" spans="1:33" s="92" customFormat="1" ht="20.25" customHeight="1" x14ac:dyDescent="0.25">
      <c r="A16" s="91"/>
      <c r="B16" s="305" t="s">
        <v>167</v>
      </c>
      <c r="C16" s="303" t="str">
        <f>'Resultate VR'!C41</f>
        <v>STV Wigoltingen</v>
      </c>
      <c r="J16" s="93"/>
      <c r="L16" s="93"/>
      <c r="M16" s="93"/>
      <c r="O16" s="94"/>
      <c r="Q16" s="94"/>
      <c r="S16" s="94"/>
      <c r="U16" s="94"/>
      <c r="W16" s="94"/>
      <c r="Y16" s="94"/>
      <c r="AG16" s="93"/>
    </row>
    <row r="17" spans="1:63" s="67" customFormat="1" ht="20.25" customHeight="1" x14ac:dyDescent="0.25">
      <c r="A17" s="66"/>
      <c r="B17" s="305" t="s">
        <v>168</v>
      </c>
      <c r="C17" s="303" t="str">
        <f>'Resultate VR'!C42</f>
        <v>JFB Widnau</v>
      </c>
      <c r="J17" s="6"/>
      <c r="L17" s="6"/>
      <c r="M17" s="6"/>
      <c r="O17" s="68"/>
      <c r="Q17" s="68"/>
      <c r="S17" s="68"/>
      <c r="U17" s="68"/>
      <c r="W17" s="68"/>
      <c r="Y17" s="68"/>
      <c r="AG17" s="6"/>
    </row>
    <row r="18" spans="1:63" s="67" customFormat="1" ht="20.25" customHeight="1" x14ac:dyDescent="0.25">
      <c r="A18" s="66"/>
      <c r="B18" s="305" t="s">
        <v>169</v>
      </c>
      <c r="C18" s="303" t="str">
        <f>'Resultate VR'!C43</f>
        <v>TS Schwarzach</v>
      </c>
      <c r="J18" s="6"/>
      <c r="L18" s="6"/>
      <c r="M18" s="6"/>
      <c r="O18" s="68"/>
      <c r="Q18" s="68"/>
      <c r="S18" s="68"/>
      <c r="U18" s="68"/>
      <c r="W18" s="68"/>
      <c r="Y18" s="68"/>
      <c r="AG18" s="6"/>
    </row>
    <row r="19" spans="1:63" s="67" customFormat="1" ht="20.25" customHeight="1" x14ac:dyDescent="0.25">
      <c r="A19" s="66"/>
      <c r="B19" s="305" t="s">
        <v>170</v>
      </c>
      <c r="C19" s="303" t="str">
        <f>'Resultate VR'!C44</f>
        <v>Satus Kreuzlingen</v>
      </c>
      <c r="J19" s="6"/>
      <c r="L19" s="6"/>
      <c r="M19" s="6"/>
      <c r="O19" s="68"/>
      <c r="Q19" s="68"/>
      <c r="S19" s="68"/>
      <c r="U19" s="68"/>
      <c r="W19" s="68"/>
      <c r="Y19" s="68"/>
      <c r="AG19" s="6"/>
    </row>
    <row r="20" spans="1:63" s="67" customFormat="1" ht="15" customHeight="1" x14ac:dyDescent="0.25">
      <c r="A20" s="66"/>
      <c r="J20" s="6"/>
      <c r="L20" s="6"/>
      <c r="M20" s="6"/>
      <c r="O20" s="68"/>
      <c r="Q20" s="68"/>
      <c r="S20" s="68"/>
      <c r="U20" s="68"/>
      <c r="W20" s="68"/>
      <c r="Y20" s="68"/>
      <c r="AG20" s="6"/>
    </row>
    <row r="21" spans="1:63" s="67" customFormat="1" ht="15" customHeight="1" thickBot="1" x14ac:dyDescent="0.3">
      <c r="A21" s="66"/>
      <c r="J21" s="6"/>
      <c r="L21" s="6"/>
      <c r="M21" s="6"/>
      <c r="O21" s="68"/>
      <c r="Q21" s="68"/>
      <c r="S21" s="68"/>
      <c r="U21" s="68"/>
      <c r="W21" s="68"/>
      <c r="Y21" s="68"/>
      <c r="AG21" s="6"/>
    </row>
    <row r="22" spans="1:63" ht="15" customHeight="1" thickBot="1" x14ac:dyDescent="0.3">
      <c r="AH22" s="70" t="s">
        <v>29</v>
      </c>
      <c r="AI22" s="71" t="s">
        <v>30</v>
      </c>
      <c r="AJ22" s="71" t="s">
        <v>31</v>
      </c>
      <c r="AK22" s="71" t="s">
        <v>32</v>
      </c>
      <c r="AL22" s="72" t="s">
        <v>33</v>
      </c>
      <c r="AM22" s="71" t="s">
        <v>34</v>
      </c>
      <c r="AN22" s="71" t="s">
        <v>35</v>
      </c>
      <c r="AO22" s="73" t="s">
        <v>36</v>
      </c>
    </row>
    <row r="23" spans="1:63" ht="15" customHeight="1" x14ac:dyDescent="0.25">
      <c r="AE23" s="324" t="s">
        <v>4</v>
      </c>
      <c r="AF23" s="326" t="str">
        <f>VLOOKUP(AE23,Gruppeneinteilung!$A$5:$B$13,2,0)</f>
        <v xml:space="preserve">FBV Ettenhausen </v>
      </c>
      <c r="AG23" s="8">
        <v>1</v>
      </c>
      <c r="AH23" s="47">
        <f>(COUNTIFS(AQ23,"&gt;0"))+(COUNTIFS(AR23,"&gt;0"))</f>
        <v>0</v>
      </c>
      <c r="AI23" s="46" t="e">
        <f>((AQ23&gt;AR23)*1+(AS23&gt;AT23)*1+(AU23&gt;AV23)*1+(AW23&gt;AX23)*1+(AY23&gt;AZ23)*1&gt;1.99)*2+((BB23&gt;BC23)*1+(BD23&gt;BE23)*1+(BF23&gt;BG23)*1+(BH23&gt;BI23)*1+(BJ23&gt;BK23)*1&gt;1.99)*2</f>
        <v>#REF!</v>
      </c>
      <c r="AJ23" s="46" t="e">
        <f>IF(AQ23&gt;AR23,1,0)+IF(AS23&gt;AT23,1,0)+IF(AU23&gt;AV23,1,0)+IF(AW23&gt;AX23,1,0)+IF(AY23&gt;AZ23,1,0)+IF(BB23&gt;BC23,1,0)+IF(BD23&gt;BE23,1,0)+IF(BF23&gt;BG23,1,0)+IF(BH23&gt;BI23,1,0)+IF(BJ23&gt;BK23,1,0)</f>
        <v>#REF!</v>
      </c>
      <c r="AK23" s="46" t="e">
        <f>IF(AQ23&lt;AR23,1,0)+IF(AS23&lt;AT23,1,0)+IF(AU23&lt;AV23,1,0)+IF(AW23&lt;AX23,1,0)+IF(AY23&lt;AZ23,1,0)+IF(BB23&lt;BC23,1,0)+IF(BD23&lt;BE23,1,0)+IF(BF23&lt;BG23,1,0)+IF(BH23&lt;BI23,1,0)+IF(BJ23&lt;BK23,1,0)</f>
        <v>#REF!</v>
      </c>
      <c r="AL23" s="47" t="e">
        <f>AJ23-AK23</f>
        <v>#REF!</v>
      </c>
      <c r="AM23" s="46" t="e">
        <f t="shared" ref="AM23:AN26" si="0">AQ23+AS23+AU23+BB23+BD23+BF23</f>
        <v>#REF!</v>
      </c>
      <c r="AN23" s="46" t="e">
        <f t="shared" si="0"/>
        <v>#REF!</v>
      </c>
      <c r="AO23" s="47" t="e">
        <f>AM23-AN23</f>
        <v>#REF!</v>
      </c>
      <c r="AP23" s="48"/>
      <c r="AQ23" s="49" t="e">
        <f>#REF!</f>
        <v>#REF!</v>
      </c>
      <c r="AR23" s="50" t="e">
        <f>#REF!</f>
        <v>#REF!</v>
      </c>
      <c r="AS23" s="50" t="e">
        <f>#REF!</f>
        <v>#REF!</v>
      </c>
      <c r="AT23" s="50" t="e">
        <f>#REF!</f>
        <v>#REF!</v>
      </c>
      <c r="AU23" s="50" t="e">
        <f>#REF!</f>
        <v>#REF!</v>
      </c>
      <c r="AV23" s="50" t="e">
        <f>#REF!</f>
        <v>#REF!</v>
      </c>
      <c r="AW23" s="50"/>
      <c r="AX23" s="50"/>
      <c r="AY23" s="51"/>
      <c r="AZ23" s="52"/>
      <c r="BA23" s="48"/>
      <c r="BB23" s="49"/>
      <c r="BC23" s="50"/>
      <c r="BD23" s="50"/>
      <c r="BE23" s="50"/>
      <c r="BF23" s="50"/>
      <c r="BG23" s="50"/>
      <c r="BH23" s="50"/>
      <c r="BI23" s="50"/>
      <c r="BJ23" s="51"/>
      <c r="BK23" s="53"/>
    </row>
    <row r="24" spans="1:63" ht="15" customHeight="1" x14ac:dyDescent="0.25">
      <c r="AE24" s="319"/>
      <c r="AF24" s="322"/>
      <c r="AG24" s="9">
        <v>2</v>
      </c>
      <c r="AH24" s="47">
        <f t="shared" ref="AH24:AH26" si="1">(COUNTIFS(AQ24,"&gt;0"))+(COUNTIFS(AR24,"&gt;0"))</f>
        <v>0</v>
      </c>
      <c r="AI24" s="26" t="e">
        <f>((AQ24&gt;AR24)*1+(AS24&gt;AT24)*1+(AU24&gt;AV24)*1+(AW24&gt;AX24)*1+(AY24&gt;AZ24)*1&gt;1.99)*2+((BB24&gt;BC24)*1+(BD24&gt;BE24)*1+(BF24&gt;BG24)*1+(BH24&gt;BI24)*1+(BJ24&gt;BK24)*1&gt;1.99)*2</f>
        <v>#REF!</v>
      </c>
      <c r="AJ24" s="26" t="e">
        <f t="shared" ref="AJ24:AJ26" si="2">IF(AQ24&gt;AR24,1,0)+IF(AS24&gt;AT24,1,0)+IF(AU24&gt;AV24,1,0)+IF(AW24&gt;AX24,1,0)+IF(AY24&gt;AZ24,1,0)+IF(BB24&gt;BC24,1,0)+IF(BD24&gt;BE24,1,0)+IF(BF24&gt;BG24,1,0)+IF(BH24&gt;BI24,1,0)+IF(BJ24&gt;BK24,1,0)</f>
        <v>#REF!</v>
      </c>
      <c r="AK24" s="26" t="e">
        <f t="shared" ref="AK24:AK26" si="3">IF(AQ24&lt;AR24,1,0)+IF(AS24&lt;AT24,1,0)+IF(AU24&lt;AV24,1,0)+IF(AW24&lt;AX24,1,0)+IF(AY24&lt;AZ24,1,0)+IF(BB24&lt;BC24,1,0)+IF(BD24&lt;BE24,1,0)+IF(BF24&lt;BG24,1,0)+IF(BH24&lt;BI24,1,0)+IF(BJ24&lt;BK24,1,0)</f>
        <v>#REF!</v>
      </c>
      <c r="AL24" s="26" t="e">
        <f>AJ24-AK24</f>
        <v>#REF!</v>
      </c>
      <c r="AM24" s="26" t="e">
        <f t="shared" si="0"/>
        <v>#REF!</v>
      </c>
      <c r="AN24" s="26" t="e">
        <f t="shared" si="0"/>
        <v>#REF!</v>
      </c>
      <c r="AO24" s="26" t="e">
        <f>AM24-AN24</f>
        <v>#REF!</v>
      </c>
      <c r="AP24" s="27"/>
      <c r="AQ24" s="28" t="e">
        <f>#REF!</f>
        <v>#REF!</v>
      </c>
      <c r="AR24" s="29" t="e">
        <f>#REF!</f>
        <v>#REF!</v>
      </c>
      <c r="AS24" s="29" t="e">
        <f>#REF!</f>
        <v>#REF!</v>
      </c>
      <c r="AT24" s="29" t="e">
        <f>#REF!</f>
        <v>#REF!</v>
      </c>
      <c r="AU24" s="29" t="e">
        <f>#REF!</f>
        <v>#REF!</v>
      </c>
      <c r="AV24" s="29" t="e">
        <f>#REF!</f>
        <v>#REF!</v>
      </c>
      <c r="AW24" s="29"/>
      <c r="AX24" s="29"/>
      <c r="AY24" s="30"/>
      <c r="AZ24" s="31"/>
      <c r="BA24" s="27"/>
      <c r="BB24" s="28"/>
      <c r="BC24" s="29"/>
      <c r="BD24" s="29"/>
      <c r="BE24" s="29"/>
      <c r="BF24" s="29"/>
      <c r="BG24" s="29"/>
      <c r="BH24" s="29"/>
      <c r="BI24" s="29"/>
      <c r="BJ24" s="30"/>
      <c r="BK24" s="32"/>
    </row>
    <row r="25" spans="1:63" ht="15" customHeight="1" x14ac:dyDescent="0.25">
      <c r="AD25" s="15"/>
      <c r="AE25" s="319"/>
      <c r="AF25" s="322"/>
      <c r="AG25" s="9">
        <v>3</v>
      </c>
      <c r="AH25" s="47">
        <f t="shared" si="1"/>
        <v>0</v>
      </c>
      <c r="AI25" s="26" t="e">
        <f>((AQ25&gt;AR25)*1+(AS25&gt;AT25)*1+(AU25&gt;AV25)*1+(AW25&gt;AX25)*1+(AY25&gt;AZ25)*1&gt;1.99)*2+((BB25&gt;BC25)*1+(BD25&gt;BE25)*1+(BF25&gt;BG25)*1+(BH25&gt;BI25)*1+(BJ25&gt;BK25)*1&gt;1.99)*2</f>
        <v>#REF!</v>
      </c>
      <c r="AJ25" s="26" t="e">
        <f t="shared" si="2"/>
        <v>#REF!</v>
      </c>
      <c r="AK25" s="26" t="e">
        <f t="shared" si="3"/>
        <v>#REF!</v>
      </c>
      <c r="AL25" s="26" t="e">
        <f>AJ25-AK25</f>
        <v>#REF!</v>
      </c>
      <c r="AM25" s="26" t="e">
        <f t="shared" si="0"/>
        <v>#REF!</v>
      </c>
      <c r="AN25" s="26" t="e">
        <f t="shared" si="0"/>
        <v>#REF!</v>
      </c>
      <c r="AO25" s="26" t="e">
        <f>AM25-AN25</f>
        <v>#REF!</v>
      </c>
      <c r="AP25" s="33"/>
      <c r="AQ25" s="34" t="e">
        <f>#REF!</f>
        <v>#REF!</v>
      </c>
      <c r="AR25" s="35" t="e">
        <f>#REF!</f>
        <v>#REF!</v>
      </c>
      <c r="AS25" s="35" t="e">
        <f>#REF!</f>
        <v>#REF!</v>
      </c>
      <c r="AT25" s="35" t="e">
        <f>#REF!</f>
        <v>#REF!</v>
      </c>
      <c r="AU25" s="35" t="e">
        <f>#REF!</f>
        <v>#REF!</v>
      </c>
      <c r="AV25" s="35" t="e">
        <f>#REF!</f>
        <v>#REF!</v>
      </c>
      <c r="AW25" s="35"/>
      <c r="AX25" s="35"/>
      <c r="AY25" s="36"/>
      <c r="AZ25" s="37"/>
      <c r="BA25" s="33"/>
      <c r="BB25" s="34"/>
      <c r="BC25" s="35"/>
      <c r="BD25" s="35"/>
      <c r="BE25" s="35"/>
      <c r="BF25" s="35"/>
      <c r="BG25" s="35"/>
      <c r="BH25" s="35"/>
      <c r="BI25" s="35"/>
      <c r="BJ25" s="36"/>
      <c r="BK25" s="38"/>
    </row>
    <row r="26" spans="1:63" ht="15" customHeight="1" x14ac:dyDescent="0.25">
      <c r="AE26" s="319"/>
      <c r="AF26" s="322"/>
      <c r="AG26" s="9">
        <v>4</v>
      </c>
      <c r="AH26" s="47">
        <f t="shared" si="1"/>
        <v>0</v>
      </c>
      <c r="AI26" s="26" t="e">
        <f>((AQ26&gt;AR26)*1+(AS26&gt;AT26)*1+(AU26&gt;AV26)*1+(AW26&gt;AX26)*1+(AY26&gt;AZ26)*1&gt;1.99)*2+((BB26&gt;BC26)*1+(BD26&gt;BE26)*1+(BF26&gt;BG26)*1+(BH26&gt;BI26)*1+(BJ26&gt;BK26)*1&gt;1.99)*2</f>
        <v>#REF!</v>
      </c>
      <c r="AJ26" s="26" t="e">
        <f t="shared" si="2"/>
        <v>#REF!</v>
      </c>
      <c r="AK26" s="26" t="e">
        <f t="shared" si="3"/>
        <v>#REF!</v>
      </c>
      <c r="AL26" s="26" t="e">
        <f>AJ26-AK26</f>
        <v>#REF!</v>
      </c>
      <c r="AM26" s="26" t="e">
        <f t="shared" si="0"/>
        <v>#REF!</v>
      </c>
      <c r="AN26" s="26" t="e">
        <f t="shared" si="0"/>
        <v>#REF!</v>
      </c>
      <c r="AO26" s="26" t="e">
        <f>AM26-AN26</f>
        <v>#REF!</v>
      </c>
      <c r="AP26" s="33"/>
      <c r="AQ26" s="34" t="e">
        <f>#REF!</f>
        <v>#REF!</v>
      </c>
      <c r="AR26" s="35" t="e">
        <f>#REF!</f>
        <v>#REF!</v>
      </c>
      <c r="AS26" s="35" t="e">
        <f>#REF!</f>
        <v>#REF!</v>
      </c>
      <c r="AT26" s="35" t="e">
        <f>#REF!</f>
        <v>#REF!</v>
      </c>
      <c r="AU26" s="35" t="e">
        <f>#REF!</f>
        <v>#REF!</v>
      </c>
      <c r="AV26" s="35" t="e">
        <f>#REF!</f>
        <v>#REF!</v>
      </c>
      <c r="AW26" s="35"/>
      <c r="AX26" s="35"/>
      <c r="AY26" s="36"/>
      <c r="AZ26" s="37"/>
      <c r="BA26" s="33"/>
      <c r="BB26" s="34"/>
      <c r="BC26" s="35"/>
      <c r="BD26" s="35"/>
      <c r="BE26" s="35"/>
      <c r="BF26" s="35"/>
      <c r="BG26" s="35"/>
      <c r="BH26" s="35"/>
      <c r="BI26" s="35"/>
      <c r="BJ26" s="36"/>
      <c r="BK26" s="38"/>
    </row>
    <row r="27" spans="1:63" ht="15" customHeight="1" thickBot="1" x14ac:dyDescent="0.3">
      <c r="AE27" s="320"/>
      <c r="AF27" s="323"/>
      <c r="AG27" s="10"/>
      <c r="AH27" s="39">
        <f>SUM(AH23:AH26)</f>
        <v>0</v>
      </c>
      <c r="AI27" s="39" t="e">
        <f t="shared" ref="AI27:AO27" si="4">SUM(AI23:AI26)</f>
        <v>#REF!</v>
      </c>
      <c r="AJ27" s="39" t="e">
        <f t="shared" si="4"/>
        <v>#REF!</v>
      </c>
      <c r="AK27" s="39" t="e">
        <f t="shared" si="4"/>
        <v>#REF!</v>
      </c>
      <c r="AL27" s="39" t="e">
        <f t="shared" si="4"/>
        <v>#REF!</v>
      </c>
      <c r="AM27" s="39" t="e">
        <f t="shared" si="4"/>
        <v>#REF!</v>
      </c>
      <c r="AN27" s="39" t="e">
        <f t="shared" si="4"/>
        <v>#REF!</v>
      </c>
      <c r="AO27" s="39" t="e">
        <f t="shared" si="4"/>
        <v>#REF!</v>
      </c>
      <c r="AP27" s="40"/>
      <c r="AQ27" s="41"/>
      <c r="AR27" s="42"/>
      <c r="AS27" s="42"/>
      <c r="AT27" s="42"/>
      <c r="AU27" s="42"/>
      <c r="AV27" s="42"/>
      <c r="AW27" s="42"/>
      <c r="AX27" s="42"/>
      <c r="AY27" s="43"/>
      <c r="AZ27" s="44"/>
      <c r="BA27" s="40"/>
      <c r="BB27" s="41"/>
      <c r="BC27" s="42"/>
      <c r="BD27" s="42"/>
      <c r="BE27" s="42"/>
      <c r="BF27" s="42"/>
      <c r="BG27" s="42"/>
      <c r="BH27" s="42"/>
      <c r="BI27" s="42"/>
      <c r="BJ27" s="43"/>
      <c r="BK27" s="45"/>
    </row>
    <row r="28" spans="1:63" ht="15" customHeight="1" x14ac:dyDescent="0.25">
      <c r="AE28" s="324" t="s">
        <v>5</v>
      </c>
      <c r="AF28" s="326" t="str">
        <f>VLOOKUP(AE28,Gruppeneinteilung!$A$5:$B$13,2,0)</f>
        <v>FBT Flums</v>
      </c>
      <c r="AG28" s="8">
        <v>1</v>
      </c>
      <c r="AH28" s="47">
        <f>(COUNTIFS(AQ28,"&gt;0"))+(COUNTIFS(AR28,"&gt;0"))</f>
        <v>0</v>
      </c>
      <c r="AI28" s="46" t="e">
        <f>((AQ28&gt;AR28)*1+(AS28&gt;AT28)*1+(AU28&gt;AV28)*1+(AW28&gt;AX28)*1+(AY28&gt;AZ28)*1&gt;1.99)*2+((BB28&gt;BC28)*1+(BD28&gt;BE28)*1+(BF28&gt;BG28)*1+(BH28&gt;BI28)*1+(BJ28&gt;BK28)*1&gt;1.99)*2</f>
        <v>#REF!</v>
      </c>
      <c r="AJ28" s="46" t="e">
        <f>IF(AQ28&gt;AR28,1,0)+IF(AS28&gt;AT28,1,0)+IF(AU28&gt;AV28,1,0)+IF(AW28&gt;AX28,1,0)+IF(AY28&gt;AZ28,1,0)+IF(BB28&gt;BC28,1,0)+IF(BD28&gt;BE28,1,0)+IF(BF28&gt;BG28,1,0)+IF(BH28&gt;BI28,1,0)+IF(BJ28&gt;BK28,1,0)</f>
        <v>#REF!</v>
      </c>
      <c r="AK28" s="46" t="e">
        <f>IF(AQ28&lt;AR28,1,0)+IF(AS28&lt;AT28,1,0)+IF(AU28&lt;AV28,1,0)+IF(AW28&lt;AX28,1,0)+IF(AY28&lt;AZ28,1,0)+IF(BB28&lt;BC28,1,0)+IF(BD28&lt;BE28,1,0)+IF(BF28&lt;BG28,1,0)+IF(BH28&lt;BI28,1,0)+IF(BJ28&lt;BK28,1,0)</f>
        <v>#REF!</v>
      </c>
      <c r="AL28" s="47" t="e">
        <f>AJ28-AK28</f>
        <v>#REF!</v>
      </c>
      <c r="AM28" s="46" t="e">
        <f t="shared" ref="AM28:AN31" si="5">AQ28+AS28+AU28+BB28+BD28+BF28</f>
        <v>#REF!</v>
      </c>
      <c r="AN28" s="46" t="e">
        <f t="shared" si="5"/>
        <v>#REF!</v>
      </c>
      <c r="AO28" s="47" t="e">
        <f>AM28-AN28</f>
        <v>#REF!</v>
      </c>
      <c r="AP28" s="48"/>
      <c r="AQ28" s="49" t="e">
        <f>#REF!</f>
        <v>#REF!</v>
      </c>
      <c r="AR28" s="50" t="e">
        <f>#REF!</f>
        <v>#REF!</v>
      </c>
      <c r="AS28" s="50" t="e">
        <f>#REF!</f>
        <v>#REF!</v>
      </c>
      <c r="AT28" s="50" t="e">
        <f>#REF!</f>
        <v>#REF!</v>
      </c>
      <c r="AU28" s="50" t="e">
        <f>#REF!</f>
        <v>#REF!</v>
      </c>
      <c r="AV28" s="50" t="e">
        <f>#REF!</f>
        <v>#REF!</v>
      </c>
      <c r="AW28" s="50"/>
      <c r="AX28" s="50"/>
      <c r="AY28" s="51"/>
      <c r="AZ28" s="52"/>
      <c r="BA28" s="48"/>
      <c r="BB28" s="49"/>
      <c r="BC28" s="50"/>
      <c r="BD28" s="50"/>
      <c r="BE28" s="50"/>
      <c r="BF28" s="50"/>
      <c r="BG28" s="50"/>
      <c r="BH28" s="50"/>
      <c r="BI28" s="50"/>
      <c r="BJ28" s="51"/>
      <c r="BK28" s="53"/>
    </row>
    <row r="29" spans="1:63" ht="15" customHeight="1" x14ac:dyDescent="0.25">
      <c r="AE29" s="319"/>
      <c r="AF29" s="322"/>
      <c r="AG29" s="9">
        <v>2</v>
      </c>
      <c r="AH29" s="47">
        <f t="shared" ref="AH29:AH31" si="6">(COUNTIFS(AQ29,"&gt;0"))+(COUNTIFS(AR29,"&gt;0"))</f>
        <v>0</v>
      </c>
      <c r="AI29" s="26" t="e">
        <f>((AQ29&gt;AR29)*1+(AS29&gt;AT29)*1+(AU29&gt;AV29)*1+(AW29&gt;AX29)*1+(AY29&gt;AZ29)*1&gt;1.99)*2+((BB29&gt;BC29)*1+(BD29&gt;BE29)*1+(BF29&gt;BG29)*1+(BH29&gt;BI29)*1+(BJ29&gt;BK29)*1&gt;1.99)*2</f>
        <v>#REF!</v>
      </c>
      <c r="AJ29" s="26" t="e">
        <f t="shared" ref="AJ29:AJ31" si="7">IF(AQ29&gt;AR29,1,0)+IF(AS29&gt;AT29,1,0)+IF(AU29&gt;AV29,1,0)+IF(AW29&gt;AX29,1,0)+IF(AY29&gt;AZ29,1,0)+IF(BB29&gt;BC29,1,0)+IF(BD29&gt;BE29,1,0)+IF(BF29&gt;BG29,1,0)+IF(BH29&gt;BI29,1,0)+IF(BJ29&gt;BK29,1,0)</f>
        <v>#REF!</v>
      </c>
      <c r="AK29" s="26" t="e">
        <f t="shared" ref="AK29:AK31" si="8">IF(AQ29&lt;AR29,1,0)+IF(AS29&lt;AT29,1,0)+IF(AU29&lt;AV29,1,0)+IF(AW29&lt;AX29,1,0)+IF(AY29&lt;AZ29,1,0)+IF(BB29&lt;BC29,1,0)+IF(BD29&lt;BE29,1,0)+IF(BF29&lt;BG29,1,0)+IF(BH29&lt;BI29,1,0)+IF(BJ29&lt;BK29,1,0)</f>
        <v>#REF!</v>
      </c>
      <c r="AL29" s="26" t="e">
        <f>AJ29-AK29</f>
        <v>#REF!</v>
      </c>
      <c r="AM29" s="26" t="e">
        <f t="shared" si="5"/>
        <v>#REF!</v>
      </c>
      <c r="AN29" s="26" t="e">
        <f t="shared" si="5"/>
        <v>#REF!</v>
      </c>
      <c r="AO29" s="26" t="e">
        <f>AM29-AN29</f>
        <v>#REF!</v>
      </c>
      <c r="AP29" s="27"/>
      <c r="AQ29" s="28" t="e">
        <f>#REF!</f>
        <v>#REF!</v>
      </c>
      <c r="AR29" s="29" t="e">
        <f>#REF!</f>
        <v>#REF!</v>
      </c>
      <c r="AS29" s="29" t="e">
        <f>#REF!</f>
        <v>#REF!</v>
      </c>
      <c r="AT29" s="29" t="e">
        <f>#REF!</f>
        <v>#REF!</v>
      </c>
      <c r="AU29" s="29" t="e">
        <f>#REF!</f>
        <v>#REF!</v>
      </c>
      <c r="AV29" s="29" t="e">
        <f>#REF!</f>
        <v>#REF!</v>
      </c>
      <c r="AW29" s="29"/>
      <c r="AX29" s="29"/>
      <c r="AY29" s="30"/>
      <c r="AZ29" s="31"/>
      <c r="BA29" s="27"/>
      <c r="BB29" s="28"/>
      <c r="BC29" s="29"/>
      <c r="BD29" s="29"/>
      <c r="BE29" s="29"/>
      <c r="BF29" s="29"/>
      <c r="BG29" s="29"/>
      <c r="BH29" s="29"/>
      <c r="BI29" s="29"/>
      <c r="BJ29" s="30"/>
      <c r="BK29" s="32"/>
    </row>
    <row r="30" spans="1:63" ht="15" customHeight="1" x14ac:dyDescent="0.25">
      <c r="AE30" s="319"/>
      <c r="AF30" s="322"/>
      <c r="AG30" s="9">
        <v>3</v>
      </c>
      <c r="AH30" s="47">
        <f t="shared" si="6"/>
        <v>0</v>
      </c>
      <c r="AI30" s="26" t="e">
        <f>((AQ30&gt;AR30)*1+(AS30&gt;AT30)*1+(AU30&gt;AV30)*1+(AW30&gt;AX30)*1+(AY30&gt;AZ30)*1&gt;1.99)*2+((BB30&gt;BC30)*1+(BD30&gt;BE30)*1+(BF30&gt;BG30)*1+(BH30&gt;BI30)*1+(BJ30&gt;BK30)*1&gt;1.99)*2</f>
        <v>#REF!</v>
      </c>
      <c r="AJ30" s="26" t="e">
        <f t="shared" si="7"/>
        <v>#REF!</v>
      </c>
      <c r="AK30" s="26" t="e">
        <f t="shared" si="8"/>
        <v>#REF!</v>
      </c>
      <c r="AL30" s="26" t="e">
        <f>AJ30-AK30</f>
        <v>#REF!</v>
      </c>
      <c r="AM30" s="26" t="e">
        <f t="shared" si="5"/>
        <v>#REF!</v>
      </c>
      <c r="AN30" s="26" t="e">
        <f t="shared" si="5"/>
        <v>#REF!</v>
      </c>
      <c r="AO30" s="26" t="e">
        <f>AM30-AN30</f>
        <v>#REF!</v>
      </c>
      <c r="AP30" s="33"/>
      <c r="AQ30" s="34" t="e">
        <f>#REF!</f>
        <v>#REF!</v>
      </c>
      <c r="AR30" s="35" t="e">
        <f>#REF!</f>
        <v>#REF!</v>
      </c>
      <c r="AS30" s="35" t="e">
        <f>#REF!</f>
        <v>#REF!</v>
      </c>
      <c r="AT30" s="35" t="e">
        <f>#REF!</f>
        <v>#REF!</v>
      </c>
      <c r="AU30" s="35" t="e">
        <f>#REF!</f>
        <v>#REF!</v>
      </c>
      <c r="AV30" s="35" t="e">
        <f>#REF!</f>
        <v>#REF!</v>
      </c>
      <c r="AW30" s="35"/>
      <c r="AX30" s="35"/>
      <c r="AY30" s="36"/>
      <c r="AZ30" s="37"/>
      <c r="BA30" s="33"/>
      <c r="BB30" s="34"/>
      <c r="BC30" s="35"/>
      <c r="BD30" s="35"/>
      <c r="BE30" s="35"/>
      <c r="BF30" s="35"/>
      <c r="BG30" s="35"/>
      <c r="BH30" s="35"/>
      <c r="BI30" s="35"/>
      <c r="BJ30" s="36"/>
      <c r="BK30" s="38"/>
    </row>
    <row r="31" spans="1:63" ht="15" customHeight="1" x14ac:dyDescent="0.25">
      <c r="AE31" s="319"/>
      <c r="AF31" s="322"/>
      <c r="AG31" s="9">
        <v>4</v>
      </c>
      <c r="AH31" s="47">
        <f t="shared" si="6"/>
        <v>0</v>
      </c>
      <c r="AI31" s="26" t="e">
        <f>((AQ31&gt;AR31)*1+(AS31&gt;AT31)*1+(AU31&gt;AV31)*1+(AW31&gt;AX31)*1+(AY31&gt;AZ31)*1&gt;1.99)*2+((BB31&gt;BC31)*1+(BD31&gt;BE31)*1+(BF31&gt;BG31)*1+(BH31&gt;BI31)*1+(BJ31&gt;BK31)*1&gt;1.99)*2</f>
        <v>#REF!</v>
      </c>
      <c r="AJ31" s="26" t="e">
        <f t="shared" si="7"/>
        <v>#REF!</v>
      </c>
      <c r="AK31" s="26" t="e">
        <f t="shared" si="8"/>
        <v>#REF!</v>
      </c>
      <c r="AL31" s="26" t="e">
        <f>AJ31-AK31</f>
        <v>#REF!</v>
      </c>
      <c r="AM31" s="26" t="e">
        <f t="shared" si="5"/>
        <v>#REF!</v>
      </c>
      <c r="AN31" s="26" t="e">
        <f t="shared" si="5"/>
        <v>#REF!</v>
      </c>
      <c r="AO31" s="26" t="e">
        <f>AM31-AN31</f>
        <v>#REF!</v>
      </c>
      <c r="AP31" s="33"/>
      <c r="AQ31" s="34" t="e">
        <f>#REF!</f>
        <v>#REF!</v>
      </c>
      <c r="AR31" s="35" t="e">
        <f>#REF!</f>
        <v>#REF!</v>
      </c>
      <c r="AS31" s="35" t="e">
        <f>#REF!</f>
        <v>#REF!</v>
      </c>
      <c r="AT31" s="35" t="e">
        <f>#REF!</f>
        <v>#REF!</v>
      </c>
      <c r="AU31" s="35" t="e">
        <f>#REF!</f>
        <v>#REF!</v>
      </c>
      <c r="AV31" s="35" t="e">
        <f>#REF!</f>
        <v>#REF!</v>
      </c>
      <c r="AW31" s="35"/>
      <c r="AX31" s="35"/>
      <c r="AY31" s="36"/>
      <c r="AZ31" s="37"/>
      <c r="BA31" s="33"/>
      <c r="BB31" s="34"/>
      <c r="BC31" s="35"/>
      <c r="BD31" s="35"/>
      <c r="BE31" s="35"/>
      <c r="BF31" s="35"/>
      <c r="BG31" s="35"/>
      <c r="BH31" s="35"/>
      <c r="BI31" s="35"/>
      <c r="BJ31" s="36"/>
      <c r="BK31" s="38"/>
    </row>
    <row r="32" spans="1:63" ht="15" customHeight="1" thickBot="1" x14ac:dyDescent="0.3">
      <c r="AE32" s="320"/>
      <c r="AF32" s="323"/>
      <c r="AG32" s="11"/>
      <c r="AH32" s="39">
        <f>SUM(AH28:AH31)</f>
        <v>0</v>
      </c>
      <c r="AI32" s="39" t="e">
        <f t="shared" ref="AI32:AO32" si="9">SUM(AI28:AI31)</f>
        <v>#REF!</v>
      </c>
      <c r="AJ32" s="39" t="e">
        <f t="shared" si="9"/>
        <v>#REF!</v>
      </c>
      <c r="AK32" s="39" t="e">
        <f t="shared" si="9"/>
        <v>#REF!</v>
      </c>
      <c r="AL32" s="39" t="e">
        <f t="shared" si="9"/>
        <v>#REF!</v>
      </c>
      <c r="AM32" s="39" t="e">
        <f t="shared" si="9"/>
        <v>#REF!</v>
      </c>
      <c r="AN32" s="39" t="e">
        <f t="shared" si="9"/>
        <v>#REF!</v>
      </c>
      <c r="AO32" s="39" t="e">
        <f t="shared" si="9"/>
        <v>#REF!</v>
      </c>
      <c r="AP32" s="40"/>
      <c r="AQ32" s="41"/>
      <c r="AR32" s="42"/>
      <c r="AS32" s="42"/>
      <c r="AT32" s="42"/>
      <c r="AU32" s="42"/>
      <c r="AV32" s="42"/>
      <c r="AW32" s="42"/>
      <c r="AX32" s="42"/>
      <c r="AY32" s="43"/>
      <c r="AZ32" s="44"/>
      <c r="BA32" s="40"/>
      <c r="BB32" s="41"/>
      <c r="BC32" s="42"/>
      <c r="BD32" s="42"/>
      <c r="BE32" s="42"/>
      <c r="BF32" s="42"/>
      <c r="BG32" s="42"/>
      <c r="BH32" s="42"/>
      <c r="BI32" s="42"/>
      <c r="BJ32" s="43"/>
      <c r="BK32" s="45"/>
    </row>
    <row r="33" spans="31:63" ht="15" customHeight="1" x14ac:dyDescent="0.25">
      <c r="AE33" s="324" t="s">
        <v>6</v>
      </c>
      <c r="AF33" s="326" t="e">
        <f>VLOOKUP(AE33,Gruppeneinteilung!$A$5:$B$13,2,0)</f>
        <v>#N/A</v>
      </c>
      <c r="AG33" s="8">
        <v>1</v>
      </c>
      <c r="AH33" s="47">
        <f>(COUNTIFS(AQ33,"&gt;0"))+(COUNTIFS(AR33,"&gt;0"))</f>
        <v>0</v>
      </c>
      <c r="AI33" s="46" t="e">
        <f>((AQ33&gt;AR33)*1+(AS33&gt;AT33)*1+(AU33&gt;AV33)*1+(AW33&gt;AX33)*1+(AY33&gt;AZ33)*1&gt;1.99)*2+((BB33&gt;BC33)*1+(BD33&gt;BE33)*1+(BF33&gt;BG33)*1+(BH33&gt;BI33)*1+(BJ33&gt;BK33)*1&gt;1.99)*2</f>
        <v>#REF!</v>
      </c>
      <c r="AJ33" s="46" t="e">
        <f>IF(AQ33&gt;AR33,1,0)+IF(AS33&gt;AT33,1,0)+IF(AU33&gt;AV33,1,0)+IF(AW33&gt;AX33,1,0)+IF(AY33&gt;AZ33,1,0)+IF(BB33&gt;BC33,1,0)+IF(BD33&gt;BE33,1,0)+IF(BF33&gt;BG33,1,0)+IF(BH33&gt;BI33,1,0)+IF(BJ33&gt;BK33,1,0)</f>
        <v>#REF!</v>
      </c>
      <c r="AK33" s="46" t="e">
        <f>IF(AQ33&lt;AR33,1,0)+IF(AS33&lt;AT33,1,0)+IF(AU33&lt;AV33,1,0)+IF(AW33&lt;AX33,1,0)+IF(AY33&lt;AZ33,1,0)+IF(BB33&lt;BC33,1,0)+IF(BD33&lt;BE33,1,0)+IF(BF33&lt;BG33,1,0)+IF(BH33&lt;BI33,1,0)+IF(BJ33&lt;BK33,1,0)</f>
        <v>#REF!</v>
      </c>
      <c r="AL33" s="47" t="e">
        <f>AJ33-AK33</f>
        <v>#REF!</v>
      </c>
      <c r="AM33" s="46" t="e">
        <f t="shared" ref="AM33:AN36" si="10">AQ33+AS33+AU33+BB33+BD33+BF33</f>
        <v>#REF!</v>
      </c>
      <c r="AN33" s="46" t="e">
        <f t="shared" si="10"/>
        <v>#REF!</v>
      </c>
      <c r="AO33" s="47" t="e">
        <f>AM33-AN33</f>
        <v>#REF!</v>
      </c>
      <c r="AP33" s="48"/>
      <c r="AQ33" s="49" t="e">
        <f>#REF!</f>
        <v>#REF!</v>
      </c>
      <c r="AR33" s="50" t="e">
        <f>#REF!</f>
        <v>#REF!</v>
      </c>
      <c r="AS33" s="50" t="e">
        <f>#REF!</f>
        <v>#REF!</v>
      </c>
      <c r="AT33" s="50" t="e">
        <f>#REF!</f>
        <v>#REF!</v>
      </c>
      <c r="AU33" s="50" t="e">
        <f>#REF!</f>
        <v>#REF!</v>
      </c>
      <c r="AV33" s="50" t="e">
        <f>#REF!</f>
        <v>#REF!</v>
      </c>
      <c r="AW33" s="50"/>
      <c r="AX33" s="50"/>
      <c r="AY33" s="51"/>
      <c r="AZ33" s="52"/>
      <c r="BA33" s="48"/>
      <c r="BB33" s="49"/>
      <c r="BC33" s="50"/>
      <c r="BD33" s="50"/>
      <c r="BE33" s="50"/>
      <c r="BF33" s="50"/>
      <c r="BG33" s="50"/>
      <c r="BH33" s="50"/>
      <c r="BI33" s="50"/>
      <c r="BJ33" s="51"/>
      <c r="BK33" s="53"/>
    </row>
    <row r="34" spans="31:63" ht="15" customHeight="1" x14ac:dyDescent="0.25">
      <c r="AE34" s="319"/>
      <c r="AF34" s="322"/>
      <c r="AG34" s="9">
        <v>2</v>
      </c>
      <c r="AH34" s="47">
        <f t="shared" ref="AH34:AH36" si="11">(COUNTIFS(AQ34,"&gt;0"))+(COUNTIFS(AR34,"&gt;0"))</f>
        <v>0</v>
      </c>
      <c r="AI34" s="26" t="e">
        <f>((AQ34&gt;AR34)*1+(AS34&gt;AT34)*1+(AU34&gt;AV34)*1+(AW34&gt;AX34)*1+(AY34&gt;AZ34)*1&gt;1.99)*2+((BB34&gt;BC34)*1+(BD34&gt;BE34)*1+(BF34&gt;BG34)*1+(BH34&gt;BI34)*1+(BJ34&gt;BK34)*1&gt;1.99)*2</f>
        <v>#REF!</v>
      </c>
      <c r="AJ34" s="26" t="e">
        <f t="shared" ref="AJ34:AJ36" si="12">IF(AQ34&gt;AR34,1,0)+IF(AS34&gt;AT34,1,0)+IF(AU34&gt;AV34,1,0)+IF(AW34&gt;AX34,1,0)+IF(AY34&gt;AZ34,1,0)+IF(BB34&gt;BC34,1,0)+IF(BD34&gt;BE34,1,0)+IF(BF34&gt;BG34,1,0)+IF(BH34&gt;BI34,1,0)+IF(BJ34&gt;BK34,1,0)</f>
        <v>#REF!</v>
      </c>
      <c r="AK34" s="26" t="e">
        <f t="shared" ref="AK34:AK36" si="13">IF(AQ34&lt;AR34,1,0)+IF(AS34&lt;AT34,1,0)+IF(AU34&lt;AV34,1,0)+IF(AW34&lt;AX34,1,0)+IF(AY34&lt;AZ34,1,0)+IF(BB34&lt;BC34,1,0)+IF(BD34&lt;BE34,1,0)+IF(BF34&lt;BG34,1,0)+IF(BH34&lt;BI34,1,0)+IF(BJ34&lt;BK34,1,0)</f>
        <v>#REF!</v>
      </c>
      <c r="AL34" s="26" t="e">
        <f>AJ34-AK34</f>
        <v>#REF!</v>
      </c>
      <c r="AM34" s="26" t="e">
        <f t="shared" si="10"/>
        <v>#REF!</v>
      </c>
      <c r="AN34" s="26" t="e">
        <f t="shared" si="10"/>
        <v>#REF!</v>
      </c>
      <c r="AO34" s="26" t="e">
        <f>AM34-AN34</f>
        <v>#REF!</v>
      </c>
      <c r="AP34" s="27"/>
      <c r="AQ34" s="28" t="e">
        <f>#REF!</f>
        <v>#REF!</v>
      </c>
      <c r="AR34" s="29" t="e">
        <f>#REF!</f>
        <v>#REF!</v>
      </c>
      <c r="AS34" s="29" t="e">
        <f>#REF!</f>
        <v>#REF!</v>
      </c>
      <c r="AT34" s="29" t="e">
        <f>#REF!</f>
        <v>#REF!</v>
      </c>
      <c r="AU34" s="29" t="e">
        <f>#REF!</f>
        <v>#REF!</v>
      </c>
      <c r="AV34" s="29" t="e">
        <f>#REF!</f>
        <v>#REF!</v>
      </c>
      <c r="AW34" s="29"/>
      <c r="AX34" s="29"/>
      <c r="AY34" s="30"/>
      <c r="AZ34" s="31"/>
      <c r="BA34" s="27"/>
      <c r="BB34" s="28"/>
      <c r="BC34" s="29"/>
      <c r="BD34" s="29"/>
      <c r="BE34" s="29"/>
      <c r="BF34" s="29"/>
      <c r="BG34" s="29"/>
      <c r="BH34" s="29"/>
      <c r="BI34" s="29"/>
      <c r="BJ34" s="30"/>
      <c r="BK34" s="32"/>
    </row>
    <row r="35" spans="31:63" ht="15" customHeight="1" x14ac:dyDescent="0.25">
      <c r="AE35" s="319"/>
      <c r="AF35" s="322"/>
      <c r="AG35" s="9">
        <v>3</v>
      </c>
      <c r="AH35" s="47">
        <f t="shared" si="11"/>
        <v>0</v>
      </c>
      <c r="AI35" s="26" t="e">
        <f>((AQ35&gt;AR35)*1+(AS35&gt;AT35)*1+(AU35&gt;AV35)*1+(AW35&gt;AX35)*1+(AY35&gt;AZ35)*1&gt;1.99)*2+((BB35&gt;BC35)*1+(BD35&gt;BE35)*1+(BF35&gt;BG35)*1+(BH35&gt;BI35)*1+(BJ35&gt;BK35)*1&gt;1.99)*2</f>
        <v>#REF!</v>
      </c>
      <c r="AJ35" s="26" t="e">
        <f t="shared" si="12"/>
        <v>#REF!</v>
      </c>
      <c r="AK35" s="26" t="e">
        <f t="shared" si="13"/>
        <v>#REF!</v>
      </c>
      <c r="AL35" s="26" t="e">
        <f>AJ35-AK35</f>
        <v>#REF!</v>
      </c>
      <c r="AM35" s="26" t="e">
        <f t="shared" si="10"/>
        <v>#REF!</v>
      </c>
      <c r="AN35" s="26" t="e">
        <f t="shared" si="10"/>
        <v>#REF!</v>
      </c>
      <c r="AO35" s="26" t="e">
        <f>AM35-AN35</f>
        <v>#REF!</v>
      </c>
      <c r="AP35" s="33"/>
      <c r="AQ35" s="34" t="e">
        <f>#REF!</f>
        <v>#REF!</v>
      </c>
      <c r="AR35" s="35" t="e">
        <f>#REF!</f>
        <v>#REF!</v>
      </c>
      <c r="AS35" s="35" t="e">
        <f>#REF!</f>
        <v>#REF!</v>
      </c>
      <c r="AT35" s="35" t="e">
        <f>#REF!</f>
        <v>#REF!</v>
      </c>
      <c r="AU35" s="35" t="e">
        <f>#REF!</f>
        <v>#REF!</v>
      </c>
      <c r="AV35" s="35" t="e">
        <f>#REF!</f>
        <v>#REF!</v>
      </c>
      <c r="AW35" s="35"/>
      <c r="AX35" s="35"/>
      <c r="AY35" s="36"/>
      <c r="AZ35" s="37"/>
      <c r="BA35" s="33"/>
      <c r="BB35" s="28"/>
      <c r="BC35" s="29"/>
      <c r="BD35" s="29"/>
      <c r="BE35" s="29"/>
      <c r="BF35" s="29"/>
      <c r="BG35" s="29"/>
      <c r="BH35" s="29"/>
      <c r="BI35" s="29"/>
      <c r="BJ35" s="30"/>
      <c r="BK35" s="32"/>
    </row>
    <row r="36" spans="31:63" ht="15" customHeight="1" x14ac:dyDescent="0.25">
      <c r="AE36" s="319"/>
      <c r="AF36" s="322"/>
      <c r="AG36" s="9">
        <v>4</v>
      </c>
      <c r="AH36" s="47">
        <f t="shared" si="11"/>
        <v>0</v>
      </c>
      <c r="AI36" s="26" t="e">
        <f>((AQ36&gt;AR36)*1+(AS36&gt;AT36)*1+(AU36&gt;AV36)*1+(AW36&gt;AX36)*1+(AY36&gt;AZ36)*1&gt;1.99)*2+((BB36&gt;BC36)*1+(BD36&gt;BE36)*1+(BF36&gt;BG36)*1+(BH36&gt;BI36)*1+(BJ36&gt;BK36)*1&gt;1.99)*2</f>
        <v>#REF!</v>
      </c>
      <c r="AJ36" s="26" t="e">
        <f t="shared" si="12"/>
        <v>#REF!</v>
      </c>
      <c r="AK36" s="26" t="e">
        <f t="shared" si="13"/>
        <v>#REF!</v>
      </c>
      <c r="AL36" s="26" t="e">
        <f>AJ36-AK36</f>
        <v>#REF!</v>
      </c>
      <c r="AM36" s="26" t="e">
        <f t="shared" si="10"/>
        <v>#REF!</v>
      </c>
      <c r="AN36" s="26" t="e">
        <f t="shared" si="10"/>
        <v>#REF!</v>
      </c>
      <c r="AO36" s="26" t="e">
        <f>AM36-AN36</f>
        <v>#REF!</v>
      </c>
      <c r="AP36" s="33"/>
      <c r="AQ36" s="34" t="e">
        <f>#REF!</f>
        <v>#REF!</v>
      </c>
      <c r="AR36" s="35" t="e">
        <f>#REF!</f>
        <v>#REF!</v>
      </c>
      <c r="AS36" s="35" t="e">
        <f>#REF!</f>
        <v>#REF!</v>
      </c>
      <c r="AT36" s="35" t="e">
        <f>#REF!</f>
        <v>#REF!</v>
      </c>
      <c r="AU36" s="35" t="e">
        <f>#REF!</f>
        <v>#REF!</v>
      </c>
      <c r="AV36" s="35" t="e">
        <f>#REF!</f>
        <v>#REF!</v>
      </c>
      <c r="AW36" s="35"/>
      <c r="AX36" s="35"/>
      <c r="AY36" s="36"/>
      <c r="AZ36" s="37"/>
      <c r="BA36" s="33"/>
      <c r="BB36" s="34"/>
      <c r="BC36" s="35"/>
      <c r="BD36" s="35"/>
      <c r="BE36" s="35"/>
      <c r="BF36" s="35"/>
      <c r="BG36" s="35"/>
      <c r="BH36" s="35"/>
      <c r="BI36" s="35"/>
      <c r="BJ36" s="36"/>
      <c r="BK36" s="38"/>
    </row>
    <row r="37" spans="31:63" ht="15" customHeight="1" thickBot="1" x14ac:dyDescent="0.3">
      <c r="AE37" s="320"/>
      <c r="AF37" s="323"/>
      <c r="AG37" s="12"/>
      <c r="AH37" s="39">
        <f>SUM(AH33:AH36)</f>
        <v>0</v>
      </c>
      <c r="AI37" s="39" t="e">
        <f t="shared" ref="AI37:AO37" si="14">SUM(AI33:AI36)</f>
        <v>#REF!</v>
      </c>
      <c r="AJ37" s="39" t="e">
        <f t="shared" si="14"/>
        <v>#REF!</v>
      </c>
      <c r="AK37" s="39" t="e">
        <f t="shared" si="14"/>
        <v>#REF!</v>
      </c>
      <c r="AL37" s="39" t="e">
        <f t="shared" si="14"/>
        <v>#REF!</v>
      </c>
      <c r="AM37" s="39" t="e">
        <f t="shared" si="14"/>
        <v>#REF!</v>
      </c>
      <c r="AN37" s="39" t="e">
        <f t="shared" si="14"/>
        <v>#REF!</v>
      </c>
      <c r="AO37" s="39" t="e">
        <f t="shared" si="14"/>
        <v>#REF!</v>
      </c>
      <c r="AP37" s="54"/>
      <c r="AQ37" s="55"/>
      <c r="AR37" s="56"/>
      <c r="AS37" s="56"/>
      <c r="AT37" s="56"/>
      <c r="AU37" s="56"/>
      <c r="AV37" s="56"/>
      <c r="AW37" s="56"/>
      <c r="AX37" s="56"/>
      <c r="AY37" s="57"/>
      <c r="AZ37" s="58"/>
      <c r="BA37" s="54"/>
      <c r="BB37" s="55"/>
      <c r="BC37" s="56"/>
      <c r="BD37" s="56"/>
      <c r="BE37" s="56"/>
      <c r="BF37" s="56"/>
      <c r="BG37" s="56"/>
      <c r="BH37" s="56"/>
      <c r="BI37" s="56"/>
      <c r="BJ37" s="57"/>
      <c r="BK37" s="59"/>
    </row>
    <row r="38" spans="31:63" ht="15" customHeight="1" x14ac:dyDescent="0.25">
      <c r="AE38" s="324" t="s">
        <v>53</v>
      </c>
      <c r="AF38" s="326" t="e">
        <f>VLOOKUP(AE38,Gruppeneinteilung!$A$5:$B$13,2,0)</f>
        <v>#N/A</v>
      </c>
      <c r="AG38" s="8">
        <v>1</v>
      </c>
      <c r="AH38" s="47">
        <f>(COUNTIFS(AQ38,"&gt;0"))+(COUNTIFS(AR38,"&gt;0"))</f>
        <v>0</v>
      </c>
      <c r="AI38" s="46" t="e">
        <f>((AQ38&gt;AR38)*1+(AS38&gt;AT38)*1+(AU38&gt;AV38)*1+(AW38&gt;AX38)*1+(AY38&gt;AZ38)*1&gt;1.99)*2+((BB38&gt;BC38)*1+(BD38&gt;BE38)*1+(BF38&gt;BG38)*1+(BH38&gt;BI38)*1+(BJ38&gt;BK38)*1&gt;1.99)*2</f>
        <v>#REF!</v>
      </c>
      <c r="AJ38" s="46" t="e">
        <f>IF(AQ38&gt;AR38,1,0)+IF(AS38&gt;AT38,1,0)+IF(AU38&gt;AV38,1,0)+IF(AW38&gt;AX38,1,0)+IF(AY38&gt;AZ38,1,0)+IF(BB38&gt;BC38,1,0)+IF(BD38&gt;BE38,1,0)+IF(BF38&gt;BG38,1,0)+IF(BH38&gt;BI38,1,0)+IF(BJ38&gt;BK38,1,0)</f>
        <v>#REF!</v>
      </c>
      <c r="AK38" s="46" t="e">
        <f>IF(AQ38&lt;AR38,1,0)+IF(AS38&lt;AT38,1,0)+IF(AU38&lt;AV38,1,0)+IF(AW38&lt;AX38,1,0)+IF(AY38&lt;AZ38,1,0)+IF(BB38&lt;BC38,1,0)+IF(BD38&lt;BE38,1,0)+IF(BF38&lt;BG38,1,0)+IF(BH38&lt;BI38,1,0)+IF(BJ38&lt;BK38,1,0)</f>
        <v>#REF!</v>
      </c>
      <c r="AL38" s="47" t="e">
        <f>AJ38-AK38</f>
        <v>#REF!</v>
      </c>
      <c r="AM38" s="46" t="e">
        <f t="shared" ref="AM38:AN41" si="15">AQ38+AS38+AU38+BB38+BD38+BF38</f>
        <v>#REF!</v>
      </c>
      <c r="AN38" s="46" t="e">
        <f t="shared" si="15"/>
        <v>#REF!</v>
      </c>
      <c r="AO38" s="47" t="e">
        <f>AM38-AN38</f>
        <v>#REF!</v>
      </c>
      <c r="AP38" s="48"/>
      <c r="AQ38" s="49" t="e">
        <f>#REF!</f>
        <v>#REF!</v>
      </c>
      <c r="AR38" s="50" t="e">
        <f>#REF!</f>
        <v>#REF!</v>
      </c>
      <c r="AS38" s="50" t="e">
        <f>#REF!</f>
        <v>#REF!</v>
      </c>
      <c r="AT38" s="50" t="e">
        <f>#REF!</f>
        <v>#REF!</v>
      </c>
      <c r="AU38" s="50" t="e">
        <f>#REF!</f>
        <v>#REF!</v>
      </c>
      <c r="AV38" s="50" t="e">
        <f>#REF!</f>
        <v>#REF!</v>
      </c>
      <c r="AW38" s="50"/>
      <c r="AX38" s="50"/>
      <c r="AY38" s="51"/>
      <c r="AZ38" s="52"/>
      <c r="BA38" s="48"/>
      <c r="BB38" s="49"/>
      <c r="BC38" s="50"/>
      <c r="BD38" s="50"/>
      <c r="BE38" s="50"/>
      <c r="BF38" s="50"/>
      <c r="BG38" s="50"/>
      <c r="BH38" s="50"/>
      <c r="BI38" s="50"/>
      <c r="BJ38" s="51"/>
      <c r="BK38" s="53"/>
    </row>
    <row r="39" spans="31:63" ht="15" customHeight="1" x14ac:dyDescent="0.25">
      <c r="AE39" s="319"/>
      <c r="AF39" s="322"/>
      <c r="AG39" s="9">
        <v>2</v>
      </c>
      <c r="AH39" s="47">
        <f t="shared" ref="AH39:AH41" si="16">(COUNTIFS(AQ39,"&gt;0"))+(COUNTIFS(AR39,"&gt;0"))</f>
        <v>0</v>
      </c>
      <c r="AI39" s="26" t="e">
        <f>((AQ39&gt;AR39)*1+(AS39&gt;AT39)*1+(AU39&gt;AV39)*1+(AW39&gt;AX39)*1+(AY39&gt;AZ39)*1&gt;1.99)*2+((BB39&gt;BC39)*1+(BD39&gt;BE39)*1+(BF39&gt;BG39)*1+(BH39&gt;BI39)*1+(BJ39&gt;BK39)*1&gt;1.99)*2</f>
        <v>#REF!</v>
      </c>
      <c r="AJ39" s="26" t="e">
        <f>IF(AQ39&gt;AR39,1,0)+IF(AS39&gt;AT39,1,0)+IF(AU39&gt;AV39,1,0)+IF(AW39&gt;AX39,1,0)+IF(AY39&gt;AZ39,1,0)+IF(BB39&gt;BC39,1,0)+IF(BD39&gt;BE39,1,0)+IF(BF39&gt;BG39,1,0)+IF(BH39&gt;BI39,1,0)+IF(BJ39&gt;BK39,1,0)</f>
        <v>#REF!</v>
      </c>
      <c r="AK39" s="26" t="e">
        <f>IF(AQ39&lt;AR39,1,0)+IF(AS39&lt;AT39,1,0)+IF(AU39&lt;AV39,1,0)+IF(AW39&lt;AX39,1,0)+IF(AY39&lt;AZ39,1,0)+IF(BB39&lt;BC39,1,0)+IF(BD39&lt;BE39,1,0)+IF(BF39&lt;BG39,1,0)+IF(BH39&lt;BI39,1,0)+IF(BJ39&lt;BK39,1,0)</f>
        <v>#REF!</v>
      </c>
      <c r="AL39" s="26" t="e">
        <f>AJ39-AK39</f>
        <v>#REF!</v>
      </c>
      <c r="AM39" s="26" t="e">
        <f t="shared" si="15"/>
        <v>#REF!</v>
      </c>
      <c r="AN39" s="26" t="e">
        <f t="shared" si="15"/>
        <v>#REF!</v>
      </c>
      <c r="AO39" s="26" t="e">
        <f>AM39-AN39</f>
        <v>#REF!</v>
      </c>
      <c r="AP39" s="27"/>
      <c r="AQ39" s="28" t="e">
        <f>#REF!</f>
        <v>#REF!</v>
      </c>
      <c r="AR39" s="29" t="e">
        <f>#REF!</f>
        <v>#REF!</v>
      </c>
      <c r="AS39" s="29" t="e">
        <f>#REF!</f>
        <v>#REF!</v>
      </c>
      <c r="AT39" s="29" t="e">
        <f>#REF!</f>
        <v>#REF!</v>
      </c>
      <c r="AU39" s="29" t="e">
        <f>#REF!</f>
        <v>#REF!</v>
      </c>
      <c r="AV39" s="29" t="e">
        <f>#REF!</f>
        <v>#REF!</v>
      </c>
      <c r="AW39" s="29"/>
      <c r="AX39" s="29"/>
      <c r="AY39" s="30"/>
      <c r="AZ39" s="31"/>
      <c r="BA39" s="27"/>
      <c r="BB39" s="28"/>
      <c r="BC39" s="29"/>
      <c r="BD39" s="29"/>
      <c r="BE39" s="29"/>
      <c r="BF39" s="29"/>
      <c r="BG39" s="29"/>
      <c r="BH39" s="29"/>
      <c r="BI39" s="29"/>
      <c r="BJ39" s="30"/>
      <c r="BK39" s="32"/>
    </row>
    <row r="40" spans="31:63" ht="15" customHeight="1" x14ac:dyDescent="0.25">
      <c r="AE40" s="319"/>
      <c r="AF40" s="322"/>
      <c r="AG40" s="9">
        <v>3</v>
      </c>
      <c r="AH40" s="47">
        <f t="shared" si="16"/>
        <v>0</v>
      </c>
      <c r="AI40" s="26" t="e">
        <f>((AQ40&gt;AR40)*1+(AS40&gt;AT40)*1+(AU40&gt;AV40)*1+(AW40&gt;AX40)*1+(AY40&gt;AZ40)*1&gt;1.99)*2+((BB40&gt;BC40)*1+(BD40&gt;BE40)*1+(BF40&gt;BG40)*1+(BH40&gt;BI40)*1+(BJ40&gt;BK40)*1&gt;1.99)*2</f>
        <v>#REF!</v>
      </c>
      <c r="AJ40" s="26" t="e">
        <f>IF(AQ40&gt;AR40,1,0)+IF(AS40&gt;AT40,1,0)+IF(AU40&gt;AV40,1,0)+IF(AW40&gt;AX40,1,0)+IF(AY40&gt;AZ40,1,0)+IF(BB40&gt;BC40,1,0)+IF(BD40&gt;BE40,1,0)+IF(BF40&gt;BG40,1,0)+IF(BH40&gt;BI40,1,0)+IF(BJ40&gt;BK40,1,0)</f>
        <v>#REF!</v>
      </c>
      <c r="AK40" s="26" t="e">
        <f>IF(AQ40&lt;AR40,1,0)+IF(AS40&lt;AT40,1,0)+IF(AU40&lt;AV40,1,0)+IF(AW40&lt;AX40,1,0)+IF(AY40&lt;AZ40,1,0)+IF(BB40&lt;BC40,1,0)+IF(BD40&lt;BE40,1,0)+IF(BF40&lt;BG40,1,0)+IF(BH40&lt;BI40,1,0)+IF(BJ40&lt;BK40,1,0)</f>
        <v>#REF!</v>
      </c>
      <c r="AL40" s="26" t="e">
        <f>AJ40-AK40</f>
        <v>#REF!</v>
      </c>
      <c r="AM40" s="26" t="e">
        <f t="shared" si="15"/>
        <v>#REF!</v>
      </c>
      <c r="AN40" s="26" t="e">
        <f t="shared" si="15"/>
        <v>#REF!</v>
      </c>
      <c r="AO40" s="26" t="e">
        <f>AM40-AN40</f>
        <v>#REF!</v>
      </c>
      <c r="AP40" s="33"/>
      <c r="AQ40" s="34" t="e">
        <f>#REF!</f>
        <v>#REF!</v>
      </c>
      <c r="AR40" s="35" t="e">
        <f>#REF!</f>
        <v>#REF!</v>
      </c>
      <c r="AS40" s="35" t="e">
        <f>#REF!</f>
        <v>#REF!</v>
      </c>
      <c r="AT40" s="35" t="e">
        <f>#REF!</f>
        <v>#REF!</v>
      </c>
      <c r="AU40" s="35" t="e">
        <f>#REF!</f>
        <v>#REF!</v>
      </c>
      <c r="AV40" s="35" t="e">
        <f>#REF!</f>
        <v>#REF!</v>
      </c>
      <c r="AW40" s="35"/>
      <c r="AX40" s="35"/>
      <c r="AY40" s="36"/>
      <c r="AZ40" s="37"/>
      <c r="BA40" s="33"/>
      <c r="BB40" s="28"/>
      <c r="BC40" s="29"/>
      <c r="BD40" s="29"/>
      <c r="BE40" s="29"/>
      <c r="BF40" s="29"/>
      <c r="BG40" s="29"/>
      <c r="BH40" s="29"/>
      <c r="BI40" s="29"/>
      <c r="BJ40" s="30"/>
      <c r="BK40" s="32"/>
    </row>
    <row r="41" spans="31:63" ht="15" customHeight="1" x14ac:dyDescent="0.25">
      <c r="AE41" s="319"/>
      <c r="AF41" s="322"/>
      <c r="AG41" s="9">
        <v>4</v>
      </c>
      <c r="AH41" s="47">
        <f t="shared" si="16"/>
        <v>0</v>
      </c>
      <c r="AI41" s="26" t="e">
        <f>((AQ41&gt;AR41)*1+(AS41&gt;AT41)*1+(AU41&gt;AV41)*1+(AW41&gt;AX41)*1+(AY41&gt;AZ41)*1&gt;1.99)*2+((BB41&gt;BC41)*1+(BD41&gt;BE41)*1+(BF41&gt;BG41)*1+(BH41&gt;BI41)*1+(BJ41&gt;BK41)*1&gt;1.99)*2</f>
        <v>#REF!</v>
      </c>
      <c r="AJ41" s="26" t="e">
        <f>IF(AQ41&gt;AR41,1,0)+IF(AS41&gt;AT41,1,0)+IF(AU41&gt;AV41,1,0)+IF(AW41&gt;AX41,1,0)+IF(AY41&gt;AZ41,1,0)+IF(BB41&gt;BC41,1,0)+IF(BD41&gt;BE41,1,0)+IF(BF41&gt;BG41,1,0)+IF(BH41&gt;BI41,1,0)+IF(BJ41&gt;BK41,1,0)</f>
        <v>#REF!</v>
      </c>
      <c r="AK41" s="26" t="e">
        <f>IF(AQ41&lt;AR41,1,0)+IF(AS41&lt;AT41,1,0)+IF(AU41&lt;AV41,1,0)+IF(AW41&lt;AX41,1,0)+IF(AY41&lt;AZ41,1,0)+IF(BB41&lt;BC41,1,0)+IF(BD41&lt;BE41,1,0)+IF(BF41&lt;BG41,1,0)+IF(BH41&lt;BI41,1,0)+IF(BJ41&lt;BK41,1,0)</f>
        <v>#REF!</v>
      </c>
      <c r="AL41" s="26" t="e">
        <f>AJ41-AK41</f>
        <v>#REF!</v>
      </c>
      <c r="AM41" s="26" t="e">
        <f t="shared" si="15"/>
        <v>#REF!</v>
      </c>
      <c r="AN41" s="26" t="e">
        <f t="shared" si="15"/>
        <v>#REF!</v>
      </c>
      <c r="AO41" s="26" t="e">
        <f>AM41-AN41</f>
        <v>#REF!</v>
      </c>
      <c r="AP41" s="33"/>
      <c r="AQ41" s="34" t="e">
        <f>#REF!</f>
        <v>#REF!</v>
      </c>
      <c r="AR41" s="35" t="e">
        <f>#REF!</f>
        <v>#REF!</v>
      </c>
      <c r="AS41" s="35" t="e">
        <f>#REF!</f>
        <v>#REF!</v>
      </c>
      <c r="AT41" s="35" t="e">
        <f>#REF!</f>
        <v>#REF!</v>
      </c>
      <c r="AU41" s="35" t="e">
        <f>#REF!</f>
        <v>#REF!</v>
      </c>
      <c r="AV41" s="35" t="e">
        <f>#REF!</f>
        <v>#REF!</v>
      </c>
      <c r="AW41" s="35"/>
      <c r="AX41" s="35"/>
      <c r="AY41" s="36"/>
      <c r="AZ41" s="37"/>
      <c r="BA41" s="33"/>
      <c r="BB41" s="34"/>
      <c r="BC41" s="35"/>
      <c r="BD41" s="35"/>
      <c r="BE41" s="35"/>
      <c r="BF41" s="35"/>
      <c r="BG41" s="35"/>
      <c r="BH41" s="35"/>
      <c r="BI41" s="35"/>
      <c r="BJ41" s="36"/>
      <c r="BK41" s="38"/>
    </row>
    <row r="42" spans="31:63" ht="15" customHeight="1" thickBot="1" x14ac:dyDescent="0.3">
      <c r="AE42" s="325"/>
      <c r="AF42" s="327"/>
      <c r="AG42" s="12"/>
      <c r="AH42" s="39">
        <f>SUM(AH38:AH41)</f>
        <v>0</v>
      </c>
      <c r="AI42" s="39" t="e">
        <f t="shared" ref="AI42:AO42" si="17">SUM(AI38:AI41)</f>
        <v>#REF!</v>
      </c>
      <c r="AJ42" s="39" t="e">
        <f t="shared" si="17"/>
        <v>#REF!</v>
      </c>
      <c r="AK42" s="39" t="e">
        <f t="shared" si="17"/>
        <v>#REF!</v>
      </c>
      <c r="AL42" s="39" t="e">
        <f t="shared" si="17"/>
        <v>#REF!</v>
      </c>
      <c r="AM42" s="39" t="e">
        <f t="shared" si="17"/>
        <v>#REF!</v>
      </c>
      <c r="AN42" s="39" t="e">
        <f t="shared" si="17"/>
        <v>#REF!</v>
      </c>
      <c r="AO42" s="39" t="e">
        <f t="shared" si="17"/>
        <v>#REF!</v>
      </c>
      <c r="AP42" s="54"/>
      <c r="AQ42" s="55"/>
      <c r="AR42" s="56"/>
      <c r="AS42" s="56"/>
      <c r="AT42" s="56"/>
      <c r="AU42" s="56"/>
      <c r="AV42" s="56"/>
      <c r="AW42" s="56"/>
      <c r="AX42" s="56"/>
      <c r="AY42" s="57"/>
      <c r="AZ42" s="58"/>
      <c r="BA42" s="54"/>
      <c r="BB42" s="55"/>
      <c r="BC42" s="56"/>
      <c r="BD42" s="56"/>
      <c r="BE42" s="56"/>
      <c r="BF42" s="56"/>
      <c r="BG42" s="56"/>
      <c r="BH42" s="56"/>
      <c r="BI42" s="56"/>
      <c r="BJ42" s="57"/>
      <c r="BK42" s="59"/>
    </row>
    <row r="43" spans="31:63" ht="15" customHeight="1" x14ac:dyDescent="0.25"/>
    <row r="44" spans="31:63" ht="15" customHeight="1" x14ac:dyDescent="0.25">
      <c r="AE44" s="13" t="s">
        <v>17</v>
      </c>
      <c r="AH44" s="7" t="e">
        <f>+#REF!+AH27+AH32+AH37+AH42</f>
        <v>#REF!</v>
      </c>
      <c r="AI44" s="7" t="e">
        <f>+#REF!+AI27+AI32+AI37+AI42</f>
        <v>#REF!</v>
      </c>
      <c r="AJ44" s="7" t="e">
        <f>+#REF!+AJ27+AJ32+AJ37+AJ42</f>
        <v>#REF!</v>
      </c>
      <c r="AK44" s="7" t="e">
        <f>+#REF!+AK27+AK32+AK37+AK42</f>
        <v>#REF!</v>
      </c>
      <c r="AL44" s="7" t="e">
        <f>+#REF!+AL27+AL32+AL37+AL42</f>
        <v>#REF!</v>
      </c>
      <c r="AM44" s="7" t="e">
        <f>+#REF!+AM27+AM32+AM37+AM42</f>
        <v>#REF!</v>
      </c>
      <c r="AN44" s="7" t="e">
        <f>+#REF!+AN27+AN32+AN37+AN42</f>
        <v>#REF!</v>
      </c>
      <c r="AO44" s="7" t="e">
        <f>+#REF!+AO27+AO32+AO37+AO42</f>
        <v>#REF!</v>
      </c>
      <c r="AP44" s="7"/>
      <c r="AQ44" s="7" t="e">
        <f t="shared" ref="AQ44:AZ44" si="18">SUM(AQ23:AQ42)</f>
        <v>#REF!</v>
      </c>
      <c r="AR44" s="7" t="e">
        <f t="shared" si="18"/>
        <v>#REF!</v>
      </c>
      <c r="AS44" s="7" t="e">
        <f t="shared" si="18"/>
        <v>#REF!</v>
      </c>
      <c r="AT44" s="7" t="e">
        <f t="shared" si="18"/>
        <v>#REF!</v>
      </c>
      <c r="AU44" s="7" t="e">
        <f t="shared" si="18"/>
        <v>#REF!</v>
      </c>
      <c r="AV44" s="7" t="e">
        <f t="shared" si="18"/>
        <v>#REF!</v>
      </c>
      <c r="AW44" s="7">
        <f t="shared" si="18"/>
        <v>0</v>
      </c>
      <c r="AX44" s="7">
        <f t="shared" si="18"/>
        <v>0</v>
      </c>
      <c r="AY44" s="7">
        <f t="shared" si="18"/>
        <v>0</v>
      </c>
      <c r="AZ44" s="7">
        <f t="shared" si="18"/>
        <v>0</v>
      </c>
      <c r="BA44" s="7"/>
      <c r="BB44" s="7">
        <f t="shared" ref="BB44:BK44" si="19">SUM(BB23:BB37)</f>
        <v>0</v>
      </c>
      <c r="BC44" s="7">
        <f t="shared" si="19"/>
        <v>0</v>
      </c>
      <c r="BD44" s="7">
        <f t="shared" si="19"/>
        <v>0</v>
      </c>
      <c r="BE44" s="7">
        <f t="shared" si="19"/>
        <v>0</v>
      </c>
      <c r="BF44" s="7">
        <f t="shared" si="19"/>
        <v>0</v>
      </c>
      <c r="BG44" s="7">
        <f t="shared" si="19"/>
        <v>0</v>
      </c>
      <c r="BH44" s="7">
        <f t="shared" si="19"/>
        <v>0</v>
      </c>
      <c r="BI44" s="7">
        <f t="shared" si="19"/>
        <v>0</v>
      </c>
      <c r="BJ44" s="7">
        <f t="shared" si="19"/>
        <v>0</v>
      </c>
      <c r="BK44" s="7">
        <f t="shared" si="19"/>
        <v>0</v>
      </c>
    </row>
    <row r="45" spans="31:63" ht="15" customHeight="1" x14ac:dyDescent="0.25"/>
    <row r="46" spans="31:63" ht="15" customHeight="1" x14ac:dyDescent="0.25">
      <c r="AG46" s="90" t="s">
        <v>22</v>
      </c>
      <c r="AH46" s="90" t="s">
        <v>23</v>
      </c>
      <c r="AI46" s="316" t="s">
        <v>15</v>
      </c>
      <c r="AJ46" s="316"/>
      <c r="AK46" s="15" t="s">
        <v>24</v>
      </c>
    </row>
    <row r="47" spans="31:63" ht="13.2" customHeight="1" x14ac:dyDescent="0.25">
      <c r="AE47" s="15" t="s">
        <v>18</v>
      </c>
      <c r="AF47" s="13" t="str">
        <f>$AF$28</f>
        <v>FBT Flums</v>
      </c>
      <c r="AG47" s="7">
        <f>$AH$32</f>
        <v>0</v>
      </c>
      <c r="AH47" s="7" t="e">
        <f>$AJ$32</f>
        <v>#REF!</v>
      </c>
      <c r="AI47" s="7" t="e">
        <f>$AM$32</f>
        <v>#REF!</v>
      </c>
      <c r="AJ47" s="7" t="e">
        <f>$AN$32</f>
        <v>#REF!</v>
      </c>
      <c r="AK47" s="7" t="e">
        <f>$AO$32</f>
        <v>#REF!</v>
      </c>
      <c r="AL47" s="7"/>
    </row>
    <row r="48" spans="31:63" ht="13.2" customHeight="1" x14ac:dyDescent="0.25">
      <c r="AE48" s="15" t="s">
        <v>19</v>
      </c>
      <c r="AF48" s="13" t="str">
        <f>$AF$23</f>
        <v xml:space="preserve">FBV Ettenhausen </v>
      </c>
      <c r="AG48" s="7">
        <f>$AH$27</f>
        <v>0</v>
      </c>
      <c r="AH48" s="7" t="e">
        <f>$AJ$27</f>
        <v>#REF!</v>
      </c>
      <c r="AI48" s="7" t="e">
        <f>$AM$27</f>
        <v>#REF!</v>
      </c>
      <c r="AJ48" s="7" t="e">
        <f>$AN$27</f>
        <v>#REF!</v>
      </c>
      <c r="AK48" s="7" t="e">
        <f>$AO$27</f>
        <v>#REF!</v>
      </c>
      <c r="AL48" s="7"/>
    </row>
    <row r="49" spans="31:38" ht="13.2" customHeight="1" x14ac:dyDescent="0.25">
      <c r="AE49" s="15" t="s">
        <v>20</v>
      </c>
      <c r="AF49" s="13" t="e">
        <f>#REF!</f>
        <v>#REF!</v>
      </c>
      <c r="AG49" s="7" t="e">
        <f>#REF!</f>
        <v>#REF!</v>
      </c>
      <c r="AH49" s="7" t="e">
        <f>#REF!</f>
        <v>#REF!</v>
      </c>
      <c r="AI49" s="7" t="e">
        <f>#REF!</f>
        <v>#REF!</v>
      </c>
      <c r="AJ49" s="7" t="e">
        <f>#REF!</f>
        <v>#REF!</v>
      </c>
      <c r="AK49" s="7" t="e">
        <f>#REF!</f>
        <v>#REF!</v>
      </c>
      <c r="AL49" s="7"/>
    </row>
    <row r="50" spans="31:38" ht="13.2" customHeight="1" x14ac:dyDescent="0.25">
      <c r="AE50" s="15" t="s">
        <v>21</v>
      </c>
      <c r="AF50" s="13" t="e">
        <f>$AF$38</f>
        <v>#N/A</v>
      </c>
      <c r="AG50" s="7">
        <f>$AH$42</f>
        <v>0</v>
      </c>
      <c r="AH50" s="7" t="e">
        <f>$AJ$42</f>
        <v>#REF!</v>
      </c>
      <c r="AI50" s="7" t="e">
        <f>$AM$42</f>
        <v>#REF!</v>
      </c>
      <c r="AJ50" s="7" t="e">
        <f>$AN$42</f>
        <v>#REF!</v>
      </c>
      <c r="AK50" s="7" t="e">
        <f>$AO$42</f>
        <v>#REF!</v>
      </c>
      <c r="AL50" s="7"/>
    </row>
    <row r="51" spans="31:38" ht="13.2" customHeight="1" x14ac:dyDescent="0.25">
      <c r="AE51" s="15" t="s">
        <v>48</v>
      </c>
      <c r="AF51" s="13" t="e">
        <f>$AF$33</f>
        <v>#N/A</v>
      </c>
      <c r="AG51" s="7">
        <f>$AH$37</f>
        <v>0</v>
      </c>
      <c r="AH51" s="7" t="e">
        <f>$AJ$37</f>
        <v>#REF!</v>
      </c>
      <c r="AI51" s="7" t="e">
        <f>$AM$37</f>
        <v>#REF!</v>
      </c>
      <c r="AJ51" s="7" t="e">
        <f>$AN$37</f>
        <v>#REF!</v>
      </c>
      <c r="AK51" s="7" t="e">
        <f>$AO$37</f>
        <v>#REF!</v>
      </c>
      <c r="AL51" s="7"/>
    </row>
  </sheetData>
  <sheetProtection sheet="1" selectLockedCells="1" selectUnlockedCells="1"/>
  <mergeCells count="9">
    <mergeCell ref="AE38:AE42"/>
    <mergeCell ref="AF38:AF42"/>
    <mergeCell ref="AI46:AJ46"/>
    <mergeCell ref="AE23:AE27"/>
    <mergeCell ref="AF23:AF27"/>
    <mergeCell ref="AE28:AE32"/>
    <mergeCell ref="AF28:AF32"/>
    <mergeCell ref="AE33:AE37"/>
    <mergeCell ref="AF33:AF37"/>
  </mergeCells>
  <pageMargins left="0.59055118110236227" right="0.59055118110236227" top="0.9055118110236221" bottom="0.78740157480314965" header="0.59055118110236227" footer="0.47244094488188981"/>
  <pageSetup paperSize="9" orientation="portrait" horizontalDpi="4294967293" r:id="rId1"/>
  <headerFooter>
    <oddHeader>&amp;R&amp;G</oddHeader>
    <oddFooter>&amp;L&amp;7Christian Götsch, Spielleiter
Haldenstrasse 15, 8357 Guntershausen
Mobil 078 711 66 45
ch.christian.goetsch@gmail.com
www.faustball-ostschweiz.ch&amp;R&amp;G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V59"/>
  <sheetViews>
    <sheetView zoomScaleNormal="100" workbookViewId="0">
      <selection activeCell="AK2" sqref="AK2"/>
    </sheetView>
  </sheetViews>
  <sheetFormatPr baseColWidth="10" defaultColWidth="11.44140625" defaultRowHeight="13.2" x14ac:dyDescent="0.25"/>
  <cols>
    <col min="1" max="1" width="3.33203125" style="126" customWidth="1"/>
    <col min="2" max="2" width="3.109375" style="126" customWidth="1"/>
    <col min="3" max="33" width="3" style="126" customWidth="1"/>
    <col min="34" max="35" width="2.6640625" style="126" customWidth="1"/>
    <col min="36" max="36" width="11.44140625" style="126"/>
    <col min="37" max="37" width="6.109375" style="126" customWidth="1"/>
    <col min="38" max="38" width="11.44140625" style="126"/>
    <col min="39" max="39" width="6.88671875" style="254" hidden="1" customWidth="1"/>
    <col min="40" max="40" width="7.88671875" style="254" hidden="1" customWidth="1"/>
    <col min="41" max="42" width="6.88671875" style="254" hidden="1" customWidth="1"/>
    <col min="43" max="45" width="27.109375" style="260" hidden="1" customWidth="1"/>
    <col min="46" max="48" width="6.88671875" style="254" hidden="1" customWidth="1"/>
    <col min="49" max="50" width="11.44140625" style="126" customWidth="1"/>
    <col min="51" max="16384" width="11.44140625" style="126"/>
  </cols>
  <sheetData>
    <row r="1" spans="1:48" s="101" customFormat="1" ht="89.4" customHeight="1" thickBot="1" x14ac:dyDescent="0.55000000000000004">
      <c r="A1" s="95"/>
      <c r="B1" s="96"/>
      <c r="C1" s="97"/>
      <c r="D1" s="97"/>
      <c r="E1" s="97"/>
      <c r="F1" s="97"/>
      <c r="G1" s="98" t="s">
        <v>55</v>
      </c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00"/>
      <c r="AI1" s="100"/>
      <c r="AM1" s="249"/>
      <c r="AN1" s="249"/>
      <c r="AO1" s="249"/>
      <c r="AP1" s="249"/>
      <c r="AQ1" s="258"/>
      <c r="AR1" s="258"/>
      <c r="AS1" s="258"/>
      <c r="AT1" s="249"/>
      <c r="AU1" s="249"/>
      <c r="AV1" s="249"/>
    </row>
    <row r="2" spans="1:48" s="105" customFormat="1" ht="30" customHeight="1" thickBot="1" x14ac:dyDescent="0.3">
      <c r="A2" s="410" t="str">
        <f>CONCATENATE(MASTER!B1," ",MASTER!B8)</f>
        <v>Ostschweizer Meisterschaft Halle 2019/2020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2"/>
      <c r="AB2" s="102" t="s">
        <v>56</v>
      </c>
      <c r="AC2" s="103"/>
      <c r="AD2" s="102" t="s">
        <v>57</v>
      </c>
      <c r="AE2" s="103"/>
      <c r="AF2" s="104" t="s">
        <v>58</v>
      </c>
      <c r="AG2" s="103"/>
      <c r="AJ2" s="256" t="s">
        <v>93</v>
      </c>
      <c r="AK2" s="257">
        <v>13</v>
      </c>
      <c r="AM2" s="306" t="s">
        <v>39</v>
      </c>
      <c r="AN2" s="306" t="s">
        <v>88</v>
      </c>
      <c r="AO2" s="306" t="s">
        <v>89</v>
      </c>
      <c r="AP2" s="306" t="s">
        <v>39</v>
      </c>
      <c r="AQ2" s="307" t="s">
        <v>91</v>
      </c>
      <c r="AR2" s="307" t="s">
        <v>92</v>
      </c>
      <c r="AS2" s="307" t="s">
        <v>90</v>
      </c>
      <c r="AT2" s="306" t="s">
        <v>91</v>
      </c>
      <c r="AU2" s="306" t="s">
        <v>92</v>
      </c>
      <c r="AV2" s="306" t="s">
        <v>90</v>
      </c>
    </row>
    <row r="3" spans="1:48" s="105" customFormat="1" ht="30" customHeight="1" thickBot="1" x14ac:dyDescent="0.3">
      <c r="A3" s="413" t="str">
        <f>CONCATENATE("Kat. ",MASTER!B10," / FINALRUNDE")</f>
        <v>Kat. U14 / FINALRUNDE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5"/>
      <c r="AB3" s="416" t="str">
        <f>VLOOKUP(AK2,AM3:AV30,2,1)</f>
        <v>1/2</v>
      </c>
      <c r="AC3" s="417"/>
      <c r="AD3" s="416">
        <f>VLOOKUP(AK2,AM3:AV30,3,1)</f>
        <v>1</v>
      </c>
      <c r="AE3" s="417"/>
      <c r="AF3" s="416">
        <f>VLOOKUP(AK2,AM3:AV30,4,1)</f>
        <v>13</v>
      </c>
      <c r="AG3" s="417"/>
      <c r="AM3" s="308">
        <v>1</v>
      </c>
      <c r="AN3" s="308" t="s">
        <v>59</v>
      </c>
      <c r="AO3" s="308">
        <v>1</v>
      </c>
      <c r="AP3" s="308">
        <v>1</v>
      </c>
      <c r="AQ3" s="309" t="str">
        <f>VLOOKUP(AT3,Gruppeneinteilung!$A$5:$B$20,2,0)</f>
        <v>STV Affeltrangen</v>
      </c>
      <c r="AR3" s="309" t="str">
        <f>VLOOKUP(AU3,Gruppeneinteilung!$A$5:$B$20,2,0)</f>
        <v>FG RiWi 2</v>
      </c>
      <c r="AS3" s="309" t="str">
        <f>VLOOKUP(AV3,Gruppeneinteilung!$A$5:$B$20,2,0)</f>
        <v>SVD Diepoldsau</v>
      </c>
      <c r="AT3" s="308" t="s">
        <v>0</v>
      </c>
      <c r="AU3" s="308" t="s">
        <v>1</v>
      </c>
      <c r="AV3" s="308" t="s">
        <v>2</v>
      </c>
    </row>
    <row r="4" spans="1:48" s="105" customFormat="1" ht="15" customHeight="1" thickBot="1" x14ac:dyDescent="0.3">
      <c r="A4" s="106"/>
      <c r="B4" s="106"/>
      <c r="C4" s="106"/>
      <c r="D4" s="106"/>
      <c r="E4" s="106"/>
      <c r="F4" s="106"/>
      <c r="G4" s="107"/>
      <c r="H4" s="107"/>
      <c r="I4" s="107"/>
      <c r="J4" s="108"/>
      <c r="K4" s="107"/>
      <c r="L4" s="109"/>
      <c r="M4" s="107"/>
      <c r="N4" s="107"/>
      <c r="O4" s="107"/>
      <c r="P4" s="107"/>
      <c r="Q4" s="110"/>
      <c r="R4" s="110"/>
      <c r="S4" s="111"/>
      <c r="X4" s="112"/>
      <c r="Y4" s="113"/>
      <c r="AA4" s="113"/>
      <c r="AB4" s="113"/>
      <c r="AC4" s="114"/>
      <c r="AD4" s="114"/>
      <c r="AE4" s="114"/>
      <c r="AF4" s="114"/>
      <c r="AG4" s="114"/>
      <c r="AM4" s="252">
        <v>2</v>
      </c>
      <c r="AN4" s="308" t="s">
        <v>76</v>
      </c>
      <c r="AO4" s="252">
        <v>2</v>
      </c>
      <c r="AP4" s="252">
        <v>2</v>
      </c>
      <c r="AQ4" s="309" t="str">
        <f>VLOOKUP(AT4,Gruppeneinteilung!$A$5:$B$20,2,0)</f>
        <v>TS Höchst</v>
      </c>
      <c r="AR4" s="309" t="str">
        <f>VLOOKUP(AU4,Gruppeneinteilung!$A$5:$B$20,2,0)</f>
        <v xml:space="preserve">FBV Ettenhausen </v>
      </c>
      <c r="AS4" s="309" t="str">
        <f>VLOOKUP(AV4,Gruppeneinteilung!$A$5:$B$20,2,0)</f>
        <v>FBT Flums</v>
      </c>
      <c r="AT4" s="252" t="s">
        <v>3</v>
      </c>
      <c r="AU4" s="252" t="s">
        <v>4</v>
      </c>
      <c r="AV4" s="252" t="s">
        <v>5</v>
      </c>
    </row>
    <row r="5" spans="1:48" s="119" customFormat="1" ht="30" customHeight="1" thickBot="1" x14ac:dyDescent="0.3">
      <c r="A5" s="115" t="s">
        <v>60</v>
      </c>
      <c r="B5" s="116"/>
      <c r="C5" s="116"/>
      <c r="D5" s="116"/>
      <c r="E5" s="406" t="str">
        <f>MASTER!B3</f>
        <v>So. 15.12.2019</v>
      </c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115" t="s">
        <v>61</v>
      </c>
      <c r="Q5" s="117"/>
      <c r="R5" s="117"/>
      <c r="S5" s="116"/>
      <c r="T5" s="118"/>
      <c r="U5" s="118"/>
      <c r="V5" s="408" t="str">
        <f>MASTER!C3</f>
        <v>Aadorf, Löhracker</v>
      </c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9"/>
      <c r="AM5" s="252">
        <v>3</v>
      </c>
      <c r="AN5" s="308" t="s">
        <v>59</v>
      </c>
      <c r="AO5" s="252">
        <v>1</v>
      </c>
      <c r="AP5" s="252">
        <v>3</v>
      </c>
      <c r="AQ5" s="309" t="str">
        <f>VLOOKUP(AT5,Gruppeneinteilung!$A$5:$B$20,2,0)</f>
        <v>FG RiWi 2</v>
      </c>
      <c r="AR5" s="309" t="str">
        <f>VLOOKUP(AU5,Gruppeneinteilung!$A$5:$B$20,2,0)</f>
        <v>SVD Diepoldsau</v>
      </c>
      <c r="AS5" s="309" t="str">
        <f>VLOOKUP(AV5,Gruppeneinteilung!$A$5:$B$20,2,0)</f>
        <v>STV Affeltrangen</v>
      </c>
      <c r="AT5" s="252" t="s">
        <v>1</v>
      </c>
      <c r="AU5" s="252" t="s">
        <v>2</v>
      </c>
      <c r="AV5" s="252" t="s">
        <v>0</v>
      </c>
    </row>
    <row r="6" spans="1:48" s="119" customFormat="1" ht="15" customHeight="1" thickBot="1" x14ac:dyDescent="0.3">
      <c r="A6" s="120"/>
      <c r="B6" s="120"/>
      <c r="C6" s="120"/>
      <c r="D6" s="120"/>
      <c r="E6" s="120"/>
      <c r="F6" s="120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20"/>
      <c r="R6" s="120"/>
      <c r="S6" s="120"/>
      <c r="T6" s="113"/>
      <c r="U6" s="113"/>
      <c r="V6" s="113"/>
      <c r="W6" s="113"/>
      <c r="X6" s="113"/>
      <c r="Y6" s="113"/>
      <c r="Z6" s="113"/>
      <c r="AA6" s="120"/>
      <c r="AB6" s="113"/>
      <c r="AC6" s="120"/>
      <c r="AD6" s="120"/>
      <c r="AE6" s="120"/>
      <c r="AF6" s="113"/>
      <c r="AG6" s="121"/>
      <c r="AM6" s="308">
        <v>4</v>
      </c>
      <c r="AN6" s="308" t="s">
        <v>76</v>
      </c>
      <c r="AO6" s="308">
        <v>2</v>
      </c>
      <c r="AP6" s="308">
        <v>4</v>
      </c>
      <c r="AQ6" s="309" t="str">
        <f>VLOOKUP(AT6,Gruppeneinteilung!$A$5:$B$20,2,0)</f>
        <v xml:space="preserve">FBV Ettenhausen </v>
      </c>
      <c r="AR6" s="309" t="str">
        <f>VLOOKUP(AU6,Gruppeneinteilung!$A$5:$B$20,2,0)</f>
        <v>FBT Flums</v>
      </c>
      <c r="AS6" s="309" t="str">
        <f>VLOOKUP(AV6,Gruppeneinteilung!$A$5:$B$20,2,0)</f>
        <v>TS Höchst</v>
      </c>
      <c r="AT6" s="308" t="s">
        <v>4</v>
      </c>
      <c r="AU6" s="308" t="s">
        <v>5</v>
      </c>
      <c r="AV6" s="308" t="s">
        <v>3</v>
      </c>
    </row>
    <row r="7" spans="1:48" s="122" customFormat="1" ht="15" customHeight="1" thickTop="1" x14ac:dyDescent="0.25">
      <c r="A7" s="389" t="s">
        <v>62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1"/>
      <c r="P7" s="389" t="s">
        <v>63</v>
      </c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1"/>
      <c r="AM7" s="252">
        <v>5</v>
      </c>
      <c r="AN7" s="308" t="s">
        <v>59</v>
      </c>
      <c r="AO7" s="252">
        <v>1</v>
      </c>
      <c r="AP7" s="252">
        <v>5</v>
      </c>
      <c r="AQ7" s="309" t="str">
        <f>VLOOKUP(AT7,Gruppeneinteilung!$A$5:$B$20,2,0)</f>
        <v>STV Affeltrangen</v>
      </c>
      <c r="AR7" s="309" t="str">
        <f>VLOOKUP(AU7,Gruppeneinteilung!$A$5:$B$20,2,0)</f>
        <v>SVD Diepoldsau</v>
      </c>
      <c r="AS7" s="309" t="str">
        <f>VLOOKUP(AV7,Gruppeneinteilung!$A$5:$B$20,2,0)</f>
        <v>FG RiWi 2</v>
      </c>
      <c r="AT7" s="252" t="s">
        <v>0</v>
      </c>
      <c r="AU7" s="252" t="s">
        <v>2</v>
      </c>
      <c r="AV7" s="252" t="s">
        <v>1</v>
      </c>
    </row>
    <row r="8" spans="1:48" s="122" customFormat="1" ht="42.75" customHeight="1" thickBot="1" x14ac:dyDescent="0.3">
      <c r="A8" s="392" t="str">
        <f>VLOOKUP(AK2,AM3:AV30,5,1)</f>
        <v>FG RiWi 2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4"/>
      <c r="P8" s="392" t="str">
        <f>VLOOKUP(AK2,AM3:AV30,6,1)</f>
        <v xml:space="preserve">FBV Ettenhausen </v>
      </c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123"/>
      <c r="AF8" s="123"/>
      <c r="AG8" s="124"/>
      <c r="AJ8" s="264"/>
      <c r="AM8" s="252">
        <v>6</v>
      </c>
      <c r="AN8" s="308" t="s">
        <v>76</v>
      </c>
      <c r="AO8" s="252">
        <v>2</v>
      </c>
      <c r="AP8" s="252">
        <v>6</v>
      </c>
      <c r="AQ8" s="309" t="str">
        <f>VLOOKUP(AT8,Gruppeneinteilung!$A$5:$B$20,2,0)</f>
        <v>TS Höchst</v>
      </c>
      <c r="AR8" s="309" t="str">
        <f>VLOOKUP(AU8,Gruppeneinteilung!$A$5:$B$20,2,0)</f>
        <v>FBT Flums</v>
      </c>
      <c r="AS8" s="309" t="str">
        <f>VLOOKUP(AV8,Gruppeneinteilung!$A$5:$B$20,2,0)</f>
        <v xml:space="preserve">FBV Ettenhausen </v>
      </c>
      <c r="AT8" s="252" t="s">
        <v>3</v>
      </c>
      <c r="AU8" s="252" t="s">
        <v>5</v>
      </c>
      <c r="AV8" s="252" t="s">
        <v>4</v>
      </c>
    </row>
    <row r="9" spans="1:48" ht="15" customHeight="1" thickTop="1" thickBot="1" x14ac:dyDescent="0.3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25"/>
      <c r="Y9" s="111"/>
      <c r="Z9" s="111"/>
      <c r="AA9" s="105"/>
      <c r="AB9" s="105"/>
      <c r="AC9" s="105"/>
      <c r="AD9" s="105"/>
      <c r="AE9" s="105"/>
      <c r="AF9" s="105"/>
      <c r="AG9" s="105"/>
      <c r="AH9" s="105"/>
      <c r="AI9" s="105"/>
      <c r="AM9" s="252">
        <v>7</v>
      </c>
      <c r="AN9" s="308" t="s">
        <v>146</v>
      </c>
      <c r="AO9" s="252">
        <v>1</v>
      </c>
      <c r="AP9" s="252">
        <v>7</v>
      </c>
      <c r="AQ9" s="309" t="str">
        <f>'Resultate VR'!B54</f>
        <v>STV Affeltrangen</v>
      </c>
      <c r="AR9" s="309" t="str">
        <f>'Resultate VR'!E54</f>
        <v>TS Höchst</v>
      </c>
      <c r="AS9" s="309" t="str">
        <f>'Resultate VR'!C11</f>
        <v>FG RiWi 2</v>
      </c>
      <c r="AT9" s="252"/>
      <c r="AU9" s="252"/>
      <c r="AV9" s="252"/>
    </row>
    <row r="10" spans="1:48" s="119" customFormat="1" ht="22.5" customHeight="1" x14ac:dyDescent="0.25">
      <c r="A10" s="395" t="s">
        <v>64</v>
      </c>
      <c r="B10" s="396"/>
      <c r="C10" s="396"/>
      <c r="D10" s="396"/>
      <c r="E10" s="396"/>
      <c r="F10" s="396"/>
      <c r="G10" s="396"/>
      <c r="H10" s="396"/>
      <c r="I10" s="396"/>
      <c r="J10" s="396"/>
      <c r="K10" s="396"/>
      <c r="L10" s="396"/>
      <c r="M10" s="396"/>
      <c r="N10" s="396"/>
      <c r="O10" s="397"/>
      <c r="P10" s="128" t="s">
        <v>65</v>
      </c>
      <c r="Q10" s="129"/>
      <c r="R10" s="129"/>
      <c r="S10" s="129"/>
      <c r="T10" s="130"/>
      <c r="U10" s="130"/>
      <c r="V10" s="131"/>
      <c r="W10" s="131"/>
      <c r="X10" s="132"/>
      <c r="Y10" s="131"/>
      <c r="Z10" s="131"/>
      <c r="AA10" s="131"/>
      <c r="AB10" s="131"/>
      <c r="AC10" s="131"/>
      <c r="AD10" s="131"/>
      <c r="AE10" s="131"/>
      <c r="AF10" s="133"/>
      <c r="AG10" s="134"/>
      <c r="AM10" s="252">
        <v>8</v>
      </c>
      <c r="AN10" s="308" t="s">
        <v>147</v>
      </c>
      <c r="AO10" s="252">
        <v>2</v>
      </c>
      <c r="AP10" s="252">
        <v>8</v>
      </c>
      <c r="AQ10" s="309" t="str">
        <f>'Resultate VR'!B56</f>
        <v>FBT Flums</v>
      </c>
      <c r="AR10" s="309" t="str">
        <f>'Resultate VR'!E56</f>
        <v>SVD Diepoldsau</v>
      </c>
      <c r="AS10" s="309" t="str">
        <f>'Resultate VR'!C22</f>
        <v xml:space="preserve">FBV Ettenhausen </v>
      </c>
      <c r="AT10" s="252"/>
      <c r="AU10" s="252"/>
      <c r="AV10" s="252"/>
    </row>
    <row r="11" spans="1:48" s="119" customFormat="1" ht="22.5" customHeight="1" thickBot="1" x14ac:dyDescent="0.3">
      <c r="A11" s="398" t="str">
        <f>VLOOKUP(AK2,AM3:AV30,7,1)</f>
        <v>SVD Diepoldsau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400"/>
      <c r="P11" s="135" t="s">
        <v>66</v>
      </c>
      <c r="Q11" s="136"/>
      <c r="R11" s="136"/>
      <c r="S11" s="136"/>
      <c r="T11" s="136"/>
      <c r="U11" s="136"/>
      <c r="V11" s="137"/>
      <c r="W11" s="137"/>
      <c r="X11" s="138"/>
      <c r="Y11" s="137"/>
      <c r="Z11" s="137"/>
      <c r="AA11" s="137"/>
      <c r="AB11" s="137"/>
      <c r="AC11" s="137"/>
      <c r="AD11" s="137"/>
      <c r="AE11" s="137"/>
      <c r="AF11" s="139"/>
      <c r="AG11" s="140"/>
      <c r="AM11" s="252">
        <v>9</v>
      </c>
      <c r="AN11" s="308" t="s">
        <v>142</v>
      </c>
      <c r="AO11" s="252">
        <v>1</v>
      </c>
      <c r="AP11" s="252">
        <v>9</v>
      </c>
      <c r="AQ11" s="309" t="str">
        <f>'Resultate VR'!B62</f>
        <v>FG RiWi 2</v>
      </c>
      <c r="AR11" s="309" t="str">
        <f>'Resultate VR'!E62</f>
        <v>SVD Diepoldsau</v>
      </c>
      <c r="AS11" s="309" t="str">
        <f>'Resultate VR'!AC54</f>
        <v>TS Höchst</v>
      </c>
      <c r="AT11" s="252"/>
      <c r="AU11" s="252"/>
      <c r="AV11" s="252"/>
    </row>
    <row r="12" spans="1:48" ht="15" customHeight="1" thickBot="1" x14ac:dyDescent="0.3">
      <c r="A12" s="141"/>
      <c r="B12" s="141"/>
      <c r="C12" s="142"/>
      <c r="D12" s="142"/>
      <c r="E12" s="142"/>
      <c r="F12" s="143"/>
      <c r="G12" s="144"/>
      <c r="H12" s="144"/>
      <c r="I12" s="144"/>
      <c r="J12" s="144"/>
      <c r="K12" s="127"/>
      <c r="L12" s="144"/>
      <c r="M12" s="144"/>
      <c r="N12" s="144"/>
      <c r="O12" s="144"/>
      <c r="P12" s="143"/>
      <c r="Q12" s="145"/>
      <c r="R12" s="145"/>
      <c r="S12" s="144"/>
      <c r="T12" s="144"/>
      <c r="U12" s="144"/>
      <c r="V12" s="144"/>
      <c r="W12" s="144"/>
      <c r="X12" s="146"/>
      <c r="Y12" s="144"/>
      <c r="Z12" s="144"/>
      <c r="AA12" s="144"/>
      <c r="AB12" s="144"/>
      <c r="AC12" s="144"/>
      <c r="AD12" s="144"/>
      <c r="AE12" s="144"/>
      <c r="AF12" s="127"/>
      <c r="AG12" s="127"/>
      <c r="AM12" s="252">
        <v>10</v>
      </c>
      <c r="AN12" s="308" t="s">
        <v>144</v>
      </c>
      <c r="AO12" s="252">
        <v>2</v>
      </c>
      <c r="AP12" s="252">
        <v>10</v>
      </c>
      <c r="AQ12" s="309" t="str">
        <f>'Resultate VR'!B64</f>
        <v xml:space="preserve">FBV Ettenhausen </v>
      </c>
      <c r="AR12" s="309" t="str">
        <f>'Resultate VR'!E64</f>
        <v>STV Affeltrangen</v>
      </c>
      <c r="AS12" s="309" t="str">
        <f>'Resultate VR'!AC56</f>
        <v>FBT Flums</v>
      </c>
      <c r="AT12" s="252"/>
      <c r="AU12" s="252"/>
      <c r="AV12" s="252"/>
    </row>
    <row r="13" spans="1:48" s="157" customFormat="1" ht="12.9" customHeight="1" x14ac:dyDescent="0.25">
      <c r="A13" s="147"/>
      <c r="B13" s="148"/>
      <c r="C13" s="149"/>
      <c r="D13" s="149"/>
      <c r="E13" s="149"/>
      <c r="F13" s="148"/>
      <c r="G13" s="150"/>
      <c r="H13" s="151" t="s">
        <v>67</v>
      </c>
      <c r="I13" s="151"/>
      <c r="J13" s="151"/>
      <c r="K13" s="152"/>
      <c r="L13" s="153"/>
      <c r="M13" s="153" t="s">
        <v>68</v>
      </c>
      <c r="N13" s="153"/>
      <c r="O13" s="150"/>
      <c r="P13" s="154"/>
      <c r="Q13" s="149"/>
      <c r="R13" s="149"/>
      <c r="S13" s="149"/>
      <c r="T13" s="155"/>
      <c r="U13" s="155"/>
      <c r="V13" s="156"/>
      <c r="W13" s="156"/>
      <c r="X13" s="401" t="s">
        <v>69</v>
      </c>
      <c r="Y13" s="402"/>
      <c r="Z13" s="401" t="s">
        <v>70</v>
      </c>
      <c r="AA13" s="402"/>
      <c r="AB13" s="401" t="s">
        <v>71</v>
      </c>
      <c r="AC13" s="402"/>
      <c r="AD13" s="403" t="s">
        <v>72</v>
      </c>
      <c r="AE13" s="404"/>
      <c r="AF13" s="403" t="s">
        <v>73</v>
      </c>
      <c r="AG13" s="405"/>
      <c r="AM13" s="252">
        <v>11</v>
      </c>
      <c r="AN13" s="312" t="s">
        <v>156</v>
      </c>
      <c r="AO13" s="252">
        <v>1</v>
      </c>
      <c r="AP13" s="252">
        <v>11</v>
      </c>
      <c r="AQ13" s="309" t="str">
        <f>'Resultate VR'!B70</f>
        <v>TS Höchst</v>
      </c>
      <c r="AR13" s="309" t="str">
        <f>'Resultate VR'!E70</f>
        <v>FBT Flums</v>
      </c>
      <c r="AS13" s="309" t="str">
        <f>'Resultate VR'!AB62</f>
        <v>FG RiWi 2</v>
      </c>
      <c r="AT13" s="252"/>
      <c r="AU13" s="252"/>
      <c r="AV13" s="252"/>
    </row>
    <row r="14" spans="1:48" s="157" customFormat="1" ht="12.9" customHeight="1" x14ac:dyDescent="0.25">
      <c r="A14" s="379" t="s">
        <v>74</v>
      </c>
      <c r="B14" s="380"/>
      <c r="C14" s="380"/>
      <c r="D14" s="380"/>
      <c r="E14" s="380"/>
      <c r="F14" s="381"/>
      <c r="G14" s="158" t="s">
        <v>59</v>
      </c>
      <c r="H14" s="159"/>
      <c r="I14" s="159"/>
      <c r="J14" s="159"/>
      <c r="K14" s="160"/>
      <c r="L14" s="159"/>
      <c r="M14" s="159"/>
      <c r="N14" s="159"/>
      <c r="O14" s="160"/>
      <c r="P14" s="379" t="s">
        <v>75</v>
      </c>
      <c r="Q14" s="380"/>
      <c r="R14" s="380"/>
      <c r="S14" s="380"/>
      <c r="T14" s="380"/>
      <c r="U14" s="381"/>
      <c r="V14" s="385" t="s">
        <v>59</v>
      </c>
      <c r="W14" s="386"/>
      <c r="X14" s="161"/>
      <c r="Y14" s="162"/>
      <c r="Z14" s="161"/>
      <c r="AA14" s="162"/>
      <c r="AB14" s="161"/>
      <c r="AC14" s="162"/>
      <c r="AD14" s="163"/>
      <c r="AE14" s="164"/>
      <c r="AF14" s="163"/>
      <c r="AG14" s="165"/>
      <c r="AM14" s="252">
        <v>12</v>
      </c>
      <c r="AN14" s="312" t="s">
        <v>157</v>
      </c>
      <c r="AO14" s="252">
        <v>2</v>
      </c>
      <c r="AP14" s="252">
        <v>12</v>
      </c>
      <c r="AQ14" s="309" t="str">
        <f>'Resultate VR'!B72</f>
        <v>SVD Diepoldsau</v>
      </c>
      <c r="AR14" s="309" t="str">
        <f>'Resultate VR'!E72</f>
        <v>STV Affeltrangen</v>
      </c>
      <c r="AS14" s="309" t="str">
        <f>'Resultate VR'!AB64</f>
        <v xml:space="preserve">FBV Ettenhausen </v>
      </c>
      <c r="AT14" s="252"/>
      <c r="AU14" s="252"/>
      <c r="AV14" s="252"/>
    </row>
    <row r="15" spans="1:48" s="157" customFormat="1" ht="12.9" customHeight="1" thickBot="1" x14ac:dyDescent="0.3">
      <c r="A15" s="382"/>
      <c r="B15" s="383"/>
      <c r="C15" s="383"/>
      <c r="D15" s="383"/>
      <c r="E15" s="383"/>
      <c r="F15" s="384"/>
      <c r="G15" s="166" t="s">
        <v>76</v>
      </c>
      <c r="H15" s="167"/>
      <c r="I15" s="167"/>
      <c r="J15" s="167"/>
      <c r="K15" s="168"/>
      <c r="L15" s="167"/>
      <c r="M15" s="167"/>
      <c r="N15" s="167"/>
      <c r="O15" s="168"/>
      <c r="P15" s="382"/>
      <c r="Q15" s="383"/>
      <c r="R15" s="383"/>
      <c r="S15" s="383"/>
      <c r="T15" s="383"/>
      <c r="U15" s="384"/>
      <c r="V15" s="387" t="s">
        <v>76</v>
      </c>
      <c r="W15" s="388"/>
      <c r="X15" s="169"/>
      <c r="Y15" s="170"/>
      <c r="Z15" s="169"/>
      <c r="AA15" s="170"/>
      <c r="AB15" s="169"/>
      <c r="AC15" s="170"/>
      <c r="AD15" s="171"/>
      <c r="AE15" s="172"/>
      <c r="AF15" s="171"/>
      <c r="AG15" s="173"/>
      <c r="AM15" s="252">
        <v>13</v>
      </c>
      <c r="AN15" s="312" t="s">
        <v>158</v>
      </c>
      <c r="AO15" s="252">
        <v>1</v>
      </c>
      <c r="AP15" s="252">
        <v>13</v>
      </c>
      <c r="AQ15" s="309" t="str">
        <f>'Resultate VR'!B74</f>
        <v>FG RiWi 2</v>
      </c>
      <c r="AR15" s="309" t="str">
        <f>'Resultate VR'!E74</f>
        <v xml:space="preserve">FBV Ettenhausen </v>
      </c>
      <c r="AS15" s="309" t="str">
        <f>'Resultate VR'!AB72</f>
        <v>SVD Diepoldsau</v>
      </c>
      <c r="AT15" s="252"/>
      <c r="AU15" s="252"/>
      <c r="AV15" s="252"/>
    </row>
    <row r="16" spans="1:48" ht="15" customHeight="1" thickBot="1" x14ac:dyDescent="0.3">
      <c r="A16" s="174"/>
      <c r="B16" s="174"/>
      <c r="C16" s="175"/>
      <c r="D16" s="175"/>
      <c r="E16" s="175"/>
      <c r="F16" s="176"/>
      <c r="G16" s="175"/>
      <c r="H16" s="175"/>
      <c r="I16" s="175"/>
      <c r="J16" s="175"/>
      <c r="K16" s="175"/>
      <c r="L16" s="175"/>
      <c r="M16" s="175"/>
      <c r="N16" s="175"/>
      <c r="O16" s="177"/>
      <c r="P16" s="177"/>
      <c r="Q16" s="176"/>
      <c r="R16" s="176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77"/>
      <c r="AG16" s="177"/>
      <c r="AM16" s="252">
        <v>14</v>
      </c>
      <c r="AN16" s="308" t="s">
        <v>171</v>
      </c>
      <c r="AO16" s="252">
        <v>3</v>
      </c>
      <c r="AP16" s="252">
        <v>14</v>
      </c>
      <c r="AQ16" s="309" t="str">
        <f>VLOOKUP(AT16,Gruppeneinteilung!$A$5:$B$20,2,0)</f>
        <v>FG RiWi 1</v>
      </c>
      <c r="AR16" s="309" t="str">
        <f>VLOOKUP(AU16,Gruppeneinteilung!$A$5:$B$20,2,0)</f>
        <v>TS Schwarzach</v>
      </c>
      <c r="AS16" s="309" t="str">
        <f>VLOOKUP(AV16,Gruppeneinteilung!$A$5:$B$20,2,0)</f>
        <v>JFB Widnau</v>
      </c>
      <c r="AT16" s="311" t="s">
        <v>103</v>
      </c>
      <c r="AU16" s="252" t="s">
        <v>104</v>
      </c>
      <c r="AV16" s="252" t="s">
        <v>107</v>
      </c>
    </row>
    <row r="17" spans="1:48" ht="20.100000000000001" customHeight="1" x14ac:dyDescent="0.25">
      <c r="A17" s="363" t="s">
        <v>69</v>
      </c>
      <c r="B17" s="364"/>
      <c r="C17" s="178" t="s">
        <v>59</v>
      </c>
      <c r="D17" s="179"/>
      <c r="E17" s="180"/>
      <c r="F17" s="181"/>
      <c r="G17" s="181"/>
      <c r="H17" s="182"/>
      <c r="I17" s="183"/>
      <c r="J17" s="181"/>
      <c r="K17" s="181"/>
      <c r="L17" s="181"/>
      <c r="M17" s="182"/>
      <c r="N17" s="183"/>
      <c r="O17" s="181"/>
      <c r="P17" s="181"/>
      <c r="Q17" s="181"/>
      <c r="R17" s="182"/>
      <c r="S17" s="183"/>
      <c r="T17" s="181"/>
      <c r="U17" s="181"/>
      <c r="V17" s="181"/>
      <c r="W17" s="182"/>
      <c r="X17" s="183"/>
      <c r="Y17" s="181"/>
      <c r="Z17" s="181"/>
      <c r="AA17" s="181"/>
      <c r="AB17" s="182"/>
      <c r="AC17" s="183"/>
      <c r="AD17" s="183"/>
      <c r="AE17" s="181"/>
      <c r="AF17" s="183"/>
      <c r="AG17" s="178" t="s">
        <v>59</v>
      </c>
      <c r="AM17" s="252">
        <v>15</v>
      </c>
      <c r="AN17" s="308" t="s">
        <v>171</v>
      </c>
      <c r="AO17" s="252">
        <v>3</v>
      </c>
      <c r="AP17" s="252">
        <v>15</v>
      </c>
      <c r="AQ17" s="309" t="str">
        <f>VLOOKUP(AT17,Gruppeneinteilung!$A$5:$B$20,2,0)</f>
        <v>STV Wigoltingen</v>
      </c>
      <c r="AR17" s="309" t="str">
        <f>VLOOKUP(AU17,Gruppeneinteilung!$A$5:$B$20,2,0)</f>
        <v>Satus Kreuzlingen</v>
      </c>
      <c r="AS17" s="309" t="str">
        <f>VLOOKUP(AV17,Gruppeneinteilung!$A$5:$B$20,2,0)</f>
        <v>FG RiWi 1</v>
      </c>
      <c r="AT17" s="311" t="s">
        <v>105</v>
      </c>
      <c r="AU17" s="252" t="s">
        <v>106</v>
      </c>
      <c r="AV17" s="252" t="s">
        <v>103</v>
      </c>
    </row>
    <row r="18" spans="1:48" ht="20.100000000000001" customHeight="1" thickBot="1" x14ac:dyDescent="0.3">
      <c r="A18" s="365"/>
      <c r="B18" s="366"/>
      <c r="C18" s="184" t="s">
        <v>76</v>
      </c>
      <c r="D18" s="185"/>
      <c r="E18" s="186"/>
      <c r="F18" s="187"/>
      <c r="G18" s="188"/>
      <c r="H18" s="189"/>
      <c r="I18" s="190"/>
      <c r="J18" s="188"/>
      <c r="K18" s="188"/>
      <c r="L18" s="188"/>
      <c r="M18" s="189"/>
      <c r="N18" s="190"/>
      <c r="O18" s="188"/>
      <c r="P18" s="188"/>
      <c r="Q18" s="188"/>
      <c r="R18" s="189"/>
      <c r="S18" s="190"/>
      <c r="T18" s="188"/>
      <c r="U18" s="188"/>
      <c r="V18" s="188"/>
      <c r="W18" s="189"/>
      <c r="X18" s="190"/>
      <c r="Y18" s="188"/>
      <c r="Z18" s="188"/>
      <c r="AA18" s="188"/>
      <c r="AB18" s="189"/>
      <c r="AC18" s="190"/>
      <c r="AD18" s="190"/>
      <c r="AE18" s="188"/>
      <c r="AF18" s="190"/>
      <c r="AG18" s="191" t="s">
        <v>76</v>
      </c>
      <c r="AM18" s="252">
        <v>16</v>
      </c>
      <c r="AN18" s="308" t="s">
        <v>171</v>
      </c>
      <c r="AO18" s="252">
        <v>3</v>
      </c>
      <c r="AP18" s="252">
        <v>16</v>
      </c>
      <c r="AQ18" s="309" t="str">
        <f>VLOOKUP(AT18,Gruppeneinteilung!$A$5:$B$20,2,0)</f>
        <v>FG RiWi 1</v>
      </c>
      <c r="AR18" s="309" t="str">
        <f>VLOOKUP(AU18,Gruppeneinteilung!$A$5:$B$20,2,0)</f>
        <v>JFB Widnau</v>
      </c>
      <c r="AS18" s="309" t="str">
        <f>VLOOKUP(AV18,Gruppeneinteilung!$A$5:$B$20,2,0)</f>
        <v>Satus Kreuzlingen</v>
      </c>
      <c r="AT18" s="311" t="s">
        <v>103</v>
      </c>
      <c r="AU18" s="252" t="s">
        <v>107</v>
      </c>
      <c r="AV18" s="252" t="s">
        <v>106</v>
      </c>
    </row>
    <row r="19" spans="1:48" ht="20.100000000000001" customHeight="1" x14ac:dyDescent="0.25">
      <c r="A19" s="367" t="s">
        <v>70</v>
      </c>
      <c r="B19" s="368"/>
      <c r="C19" s="192" t="s">
        <v>59</v>
      </c>
      <c r="D19" s="193"/>
      <c r="E19" s="194"/>
      <c r="F19" s="195"/>
      <c r="G19" s="181"/>
      <c r="H19" s="182"/>
      <c r="I19" s="183"/>
      <c r="J19" s="181"/>
      <c r="K19" s="181"/>
      <c r="L19" s="181"/>
      <c r="M19" s="182"/>
      <c r="N19" s="183"/>
      <c r="O19" s="181"/>
      <c r="P19" s="181"/>
      <c r="Q19" s="181"/>
      <c r="R19" s="182"/>
      <c r="S19" s="183"/>
      <c r="T19" s="181"/>
      <c r="U19" s="181"/>
      <c r="V19" s="181"/>
      <c r="W19" s="182"/>
      <c r="X19" s="183"/>
      <c r="Y19" s="181"/>
      <c r="Z19" s="181"/>
      <c r="AA19" s="181"/>
      <c r="AB19" s="182"/>
      <c r="AC19" s="183"/>
      <c r="AD19" s="183"/>
      <c r="AE19" s="181"/>
      <c r="AF19" s="183"/>
      <c r="AG19" s="196" t="s">
        <v>59</v>
      </c>
      <c r="AM19" s="252">
        <v>17</v>
      </c>
      <c r="AN19" s="308" t="s">
        <v>171</v>
      </c>
      <c r="AO19" s="252">
        <v>3</v>
      </c>
      <c r="AP19" s="252">
        <v>17</v>
      </c>
      <c r="AQ19" s="309" t="str">
        <f>VLOOKUP(AT19,Gruppeneinteilung!$A$5:$B$20,2,0)</f>
        <v>TS Schwarzach</v>
      </c>
      <c r="AR19" s="309" t="str">
        <f>VLOOKUP(AU19,Gruppeneinteilung!$A$5:$B$20,2,0)</f>
        <v>STV Wigoltingen</v>
      </c>
      <c r="AS19" s="309" t="str">
        <f>VLOOKUP(AV19,Gruppeneinteilung!$A$5:$B$20,2,0)</f>
        <v>FG RiWi 1</v>
      </c>
      <c r="AT19" s="311" t="s">
        <v>104</v>
      </c>
      <c r="AU19" s="252" t="s">
        <v>105</v>
      </c>
      <c r="AV19" s="252" t="s">
        <v>103</v>
      </c>
    </row>
    <row r="20" spans="1:48" ht="20.100000000000001" customHeight="1" thickBot="1" x14ac:dyDescent="0.3">
      <c r="A20" s="367"/>
      <c r="B20" s="368"/>
      <c r="C20" s="191" t="s">
        <v>76</v>
      </c>
      <c r="D20" s="185"/>
      <c r="E20" s="197"/>
      <c r="F20" s="198"/>
      <c r="G20" s="198"/>
      <c r="H20" s="199"/>
      <c r="I20" s="200"/>
      <c r="J20" s="198"/>
      <c r="K20" s="198"/>
      <c r="L20" s="198"/>
      <c r="M20" s="199"/>
      <c r="N20" s="200"/>
      <c r="O20" s="198"/>
      <c r="P20" s="198"/>
      <c r="Q20" s="198"/>
      <c r="R20" s="199"/>
      <c r="S20" s="200"/>
      <c r="T20" s="198"/>
      <c r="U20" s="198"/>
      <c r="V20" s="198"/>
      <c r="W20" s="199"/>
      <c r="X20" s="200"/>
      <c r="Y20" s="198"/>
      <c r="Z20" s="198"/>
      <c r="AA20" s="198"/>
      <c r="AB20" s="199"/>
      <c r="AC20" s="200"/>
      <c r="AD20" s="200"/>
      <c r="AE20" s="198"/>
      <c r="AF20" s="200"/>
      <c r="AG20" s="191" t="s">
        <v>76</v>
      </c>
      <c r="AM20" s="252">
        <v>18</v>
      </c>
      <c r="AN20" s="308" t="s">
        <v>171</v>
      </c>
      <c r="AO20" s="252">
        <v>3</v>
      </c>
      <c r="AP20" s="252">
        <v>18</v>
      </c>
      <c r="AQ20" s="309" t="str">
        <f>VLOOKUP(AT20,Gruppeneinteilung!$A$5:$B$20,2,0)</f>
        <v>Satus Kreuzlingen</v>
      </c>
      <c r="AR20" s="309" t="str">
        <f>VLOOKUP(AU20,Gruppeneinteilung!$A$5:$B$20,2,0)</f>
        <v>JFB Widnau</v>
      </c>
      <c r="AS20" s="309" t="str">
        <f>VLOOKUP(AV20,Gruppeneinteilung!$A$5:$B$20,2,0)</f>
        <v>TS Schwarzach</v>
      </c>
      <c r="AT20" s="311" t="s">
        <v>106</v>
      </c>
      <c r="AU20" s="252" t="s">
        <v>107</v>
      </c>
      <c r="AV20" s="252" t="s">
        <v>104</v>
      </c>
    </row>
    <row r="21" spans="1:48" ht="20.100000000000001" customHeight="1" x14ac:dyDescent="0.25">
      <c r="A21" s="369" t="s">
        <v>71</v>
      </c>
      <c r="B21" s="370"/>
      <c r="C21" s="178" t="s">
        <v>59</v>
      </c>
      <c r="D21" s="179"/>
      <c r="E21" s="201"/>
      <c r="F21" s="181"/>
      <c r="G21" s="181"/>
      <c r="H21" s="182"/>
      <c r="I21" s="183"/>
      <c r="J21" s="181"/>
      <c r="K21" s="181"/>
      <c r="L21" s="181"/>
      <c r="M21" s="182"/>
      <c r="N21" s="183"/>
      <c r="O21" s="181"/>
      <c r="P21" s="181"/>
      <c r="Q21" s="181"/>
      <c r="R21" s="182"/>
      <c r="S21" s="183"/>
      <c r="T21" s="181"/>
      <c r="U21" s="181"/>
      <c r="V21" s="181"/>
      <c r="W21" s="182"/>
      <c r="X21" s="183"/>
      <c r="Y21" s="181"/>
      <c r="Z21" s="181"/>
      <c r="AA21" s="181"/>
      <c r="AB21" s="182"/>
      <c r="AC21" s="183"/>
      <c r="AD21" s="183"/>
      <c r="AE21" s="181"/>
      <c r="AF21" s="183"/>
      <c r="AG21" s="178" t="s">
        <v>59</v>
      </c>
      <c r="AM21" s="252">
        <v>19</v>
      </c>
      <c r="AN21" s="308" t="s">
        <v>171</v>
      </c>
      <c r="AO21" s="252">
        <v>3</v>
      </c>
      <c r="AP21" s="252">
        <v>19</v>
      </c>
      <c r="AQ21" s="309" t="str">
        <f>VLOOKUP(AT21,Gruppeneinteilung!$A$5:$B$20,2,0)</f>
        <v>FG RiWi 1</v>
      </c>
      <c r="AR21" s="309" t="str">
        <f>VLOOKUP(AU21,Gruppeneinteilung!$A$5:$B$20,2,0)</f>
        <v>STV Wigoltingen</v>
      </c>
      <c r="AS21" s="309" t="str">
        <f>VLOOKUP(AV21,Gruppeneinteilung!$A$5:$B$20,2,0)</f>
        <v>JFB Widnau</v>
      </c>
      <c r="AT21" s="311" t="s">
        <v>103</v>
      </c>
      <c r="AU21" s="252" t="s">
        <v>105</v>
      </c>
      <c r="AV21" s="252" t="s">
        <v>107</v>
      </c>
    </row>
    <row r="22" spans="1:48" ht="20.100000000000001" customHeight="1" thickBot="1" x14ac:dyDescent="0.3">
      <c r="A22" s="371"/>
      <c r="B22" s="372"/>
      <c r="C22" s="184" t="s">
        <v>76</v>
      </c>
      <c r="D22" s="185"/>
      <c r="E22" s="187"/>
      <c r="F22" s="187"/>
      <c r="G22" s="187"/>
      <c r="H22" s="202"/>
      <c r="I22" s="203"/>
      <c r="J22" s="187"/>
      <c r="K22" s="187"/>
      <c r="L22" s="187"/>
      <c r="M22" s="202"/>
      <c r="N22" s="203"/>
      <c r="O22" s="187"/>
      <c r="P22" s="187"/>
      <c r="Q22" s="187"/>
      <c r="R22" s="202"/>
      <c r="S22" s="203"/>
      <c r="T22" s="187"/>
      <c r="U22" s="187"/>
      <c r="V22" s="187"/>
      <c r="W22" s="202"/>
      <c r="X22" s="203"/>
      <c r="Y22" s="187"/>
      <c r="Z22" s="187"/>
      <c r="AA22" s="187"/>
      <c r="AB22" s="202"/>
      <c r="AC22" s="203"/>
      <c r="AD22" s="203"/>
      <c r="AE22" s="187"/>
      <c r="AF22" s="203"/>
      <c r="AG22" s="184" t="s">
        <v>76</v>
      </c>
      <c r="AM22" s="252">
        <v>20</v>
      </c>
      <c r="AN22" s="308" t="s">
        <v>171</v>
      </c>
      <c r="AO22" s="252">
        <v>3</v>
      </c>
      <c r="AP22" s="252">
        <v>20</v>
      </c>
      <c r="AQ22" s="309" t="str">
        <f>VLOOKUP(AT22,Gruppeneinteilung!$A$5:$B$20,2,0)</f>
        <v>TS Schwarzach</v>
      </c>
      <c r="AR22" s="309" t="str">
        <f>VLOOKUP(AU22,Gruppeneinteilung!$A$5:$B$20,2,0)</f>
        <v>JFB Widnau</v>
      </c>
      <c r="AS22" s="309" t="str">
        <f>VLOOKUP(AV22,Gruppeneinteilung!$A$5:$B$20,2,0)</f>
        <v>STV Wigoltingen</v>
      </c>
      <c r="AT22" s="311" t="s">
        <v>104</v>
      </c>
      <c r="AU22" s="252" t="s">
        <v>107</v>
      </c>
      <c r="AV22" s="252" t="s">
        <v>105</v>
      </c>
    </row>
    <row r="23" spans="1:48" ht="20.100000000000001" customHeight="1" x14ac:dyDescent="0.25">
      <c r="A23" s="373" t="s">
        <v>72</v>
      </c>
      <c r="B23" s="374"/>
      <c r="C23" s="204" t="s">
        <v>59</v>
      </c>
      <c r="D23" s="205"/>
      <c r="E23" s="206"/>
      <c r="F23" s="207"/>
      <c r="G23" s="207"/>
      <c r="H23" s="208"/>
      <c r="I23" s="209"/>
      <c r="J23" s="207"/>
      <c r="K23" s="207"/>
      <c r="L23" s="207"/>
      <c r="M23" s="208"/>
      <c r="N23" s="209"/>
      <c r="O23" s="207"/>
      <c r="P23" s="207"/>
      <c r="Q23" s="207"/>
      <c r="R23" s="208"/>
      <c r="S23" s="209"/>
      <c r="T23" s="207"/>
      <c r="U23" s="207"/>
      <c r="V23" s="207"/>
      <c r="W23" s="208"/>
      <c r="X23" s="209"/>
      <c r="Y23" s="207"/>
      <c r="Z23" s="207"/>
      <c r="AA23" s="207"/>
      <c r="AB23" s="208"/>
      <c r="AC23" s="209"/>
      <c r="AD23" s="209"/>
      <c r="AE23" s="207"/>
      <c r="AF23" s="209"/>
      <c r="AG23" s="204" t="s">
        <v>59</v>
      </c>
      <c r="AM23" s="252">
        <v>21</v>
      </c>
      <c r="AN23" s="308" t="s">
        <v>171</v>
      </c>
      <c r="AO23" s="252">
        <v>3</v>
      </c>
      <c r="AP23" s="252">
        <v>21</v>
      </c>
      <c r="AQ23" s="309" t="str">
        <f>VLOOKUP(AT23,Gruppeneinteilung!$A$5:$B$20,2,0)</f>
        <v>FG RiWi 1</v>
      </c>
      <c r="AR23" s="309" t="str">
        <f>VLOOKUP(AU23,Gruppeneinteilung!$A$5:$B$20,2,0)</f>
        <v>Satus Kreuzlingen</v>
      </c>
      <c r="AS23" s="309" t="str">
        <f>VLOOKUP(AV23,Gruppeneinteilung!$A$5:$B$20,2,0)</f>
        <v>TS Schwarzach</v>
      </c>
      <c r="AT23" s="311" t="s">
        <v>103</v>
      </c>
      <c r="AU23" s="252" t="s">
        <v>106</v>
      </c>
      <c r="AV23" s="252" t="s">
        <v>104</v>
      </c>
    </row>
    <row r="24" spans="1:48" ht="20.100000000000001" customHeight="1" thickBot="1" x14ac:dyDescent="0.3">
      <c r="A24" s="375"/>
      <c r="B24" s="376"/>
      <c r="C24" s="210" t="s">
        <v>76</v>
      </c>
      <c r="D24" s="211"/>
      <c r="E24" s="212"/>
      <c r="F24" s="213"/>
      <c r="G24" s="213"/>
      <c r="H24" s="214"/>
      <c r="I24" s="215"/>
      <c r="J24" s="213"/>
      <c r="K24" s="213"/>
      <c r="L24" s="213"/>
      <c r="M24" s="214"/>
      <c r="N24" s="215"/>
      <c r="O24" s="213"/>
      <c r="P24" s="213"/>
      <c r="Q24" s="213"/>
      <c r="R24" s="214"/>
      <c r="S24" s="215"/>
      <c r="T24" s="213"/>
      <c r="U24" s="213"/>
      <c r="V24" s="213"/>
      <c r="W24" s="214"/>
      <c r="X24" s="215"/>
      <c r="Y24" s="213"/>
      <c r="Z24" s="213"/>
      <c r="AA24" s="213"/>
      <c r="AB24" s="214"/>
      <c r="AC24" s="215"/>
      <c r="AD24" s="215"/>
      <c r="AE24" s="213"/>
      <c r="AF24" s="215"/>
      <c r="AG24" s="210" t="s">
        <v>76</v>
      </c>
      <c r="AM24" s="252">
        <v>22</v>
      </c>
      <c r="AN24" s="308" t="s">
        <v>171</v>
      </c>
      <c r="AO24" s="252">
        <v>3</v>
      </c>
      <c r="AP24" s="252">
        <v>22</v>
      </c>
      <c r="AQ24" s="309" t="str">
        <f>VLOOKUP(AT24,Gruppeneinteilung!$A$5:$B$20,2,0)</f>
        <v>STV Wigoltingen</v>
      </c>
      <c r="AR24" s="309" t="str">
        <f>VLOOKUP(AU24,Gruppeneinteilung!$A$5:$B$20,2,0)</f>
        <v>JFB Widnau</v>
      </c>
      <c r="AS24" s="309" t="str">
        <f>VLOOKUP(AV24,Gruppeneinteilung!$A$5:$B$20,2,0)</f>
        <v>Satus Kreuzlingen</v>
      </c>
      <c r="AT24" s="311" t="s">
        <v>105</v>
      </c>
      <c r="AU24" s="310" t="s">
        <v>107</v>
      </c>
      <c r="AV24" s="310" t="s">
        <v>106</v>
      </c>
    </row>
    <row r="25" spans="1:48" ht="20.100000000000001" customHeight="1" x14ac:dyDescent="0.25">
      <c r="A25" s="377" t="s">
        <v>73</v>
      </c>
      <c r="B25" s="378"/>
      <c r="C25" s="216" t="s">
        <v>59</v>
      </c>
      <c r="D25" s="217"/>
      <c r="E25" s="218"/>
      <c r="F25" s="219"/>
      <c r="G25" s="219"/>
      <c r="H25" s="220"/>
      <c r="I25" s="221"/>
      <c r="J25" s="219"/>
      <c r="K25" s="219"/>
      <c r="L25" s="219"/>
      <c r="M25" s="220"/>
      <c r="N25" s="221"/>
      <c r="O25" s="219"/>
      <c r="P25" s="219"/>
      <c r="Q25" s="219"/>
      <c r="R25" s="220"/>
      <c r="S25" s="221"/>
      <c r="T25" s="219"/>
      <c r="U25" s="219"/>
      <c r="V25" s="219"/>
      <c r="W25" s="220"/>
      <c r="X25" s="221"/>
      <c r="Y25" s="219"/>
      <c r="Z25" s="219"/>
      <c r="AA25" s="219"/>
      <c r="AB25" s="220"/>
      <c r="AC25" s="221"/>
      <c r="AD25" s="221"/>
      <c r="AE25" s="219"/>
      <c r="AF25" s="221"/>
      <c r="AG25" s="216" t="s">
        <v>59</v>
      </c>
      <c r="AM25" s="252">
        <v>23</v>
      </c>
      <c r="AN25" s="308" t="s">
        <v>171</v>
      </c>
      <c r="AO25" s="252">
        <v>3</v>
      </c>
      <c r="AP25" s="252">
        <v>23</v>
      </c>
      <c r="AQ25" s="309" t="str">
        <f>VLOOKUP(AT25,Gruppeneinteilung!$A$5:$B$20,2,0)</f>
        <v>TS Schwarzach</v>
      </c>
      <c r="AR25" s="309" t="str">
        <f>VLOOKUP(AU25,Gruppeneinteilung!$A$5:$B$20,2,0)</f>
        <v>Satus Kreuzlingen</v>
      </c>
      <c r="AS25" s="309" t="str">
        <f>VLOOKUP(AV25,Gruppeneinteilung!$A$5:$B$20,2,0)</f>
        <v>STV Wigoltingen</v>
      </c>
      <c r="AT25" s="311" t="s">
        <v>104</v>
      </c>
      <c r="AU25" s="310" t="s">
        <v>106</v>
      </c>
      <c r="AV25" s="310" t="s">
        <v>105</v>
      </c>
    </row>
    <row r="26" spans="1:48" ht="20.100000000000001" customHeight="1" thickBot="1" x14ac:dyDescent="0.3">
      <c r="A26" s="375"/>
      <c r="B26" s="376"/>
      <c r="C26" s="210" t="s">
        <v>76</v>
      </c>
      <c r="D26" s="211"/>
      <c r="E26" s="213"/>
      <c r="F26" s="213"/>
      <c r="G26" s="213"/>
      <c r="H26" s="214"/>
      <c r="I26" s="215"/>
      <c r="J26" s="213"/>
      <c r="K26" s="213"/>
      <c r="L26" s="213"/>
      <c r="M26" s="214"/>
      <c r="N26" s="215"/>
      <c r="O26" s="213"/>
      <c r="P26" s="213"/>
      <c r="Q26" s="213"/>
      <c r="R26" s="214"/>
      <c r="S26" s="215"/>
      <c r="T26" s="213"/>
      <c r="U26" s="213"/>
      <c r="V26" s="213"/>
      <c r="W26" s="214"/>
      <c r="X26" s="215"/>
      <c r="Y26" s="213"/>
      <c r="Z26" s="213"/>
      <c r="AA26" s="213"/>
      <c r="AB26" s="214"/>
      <c r="AC26" s="215"/>
      <c r="AD26" s="215"/>
      <c r="AE26" s="213"/>
      <c r="AF26" s="215"/>
      <c r="AG26" s="210" t="s">
        <v>76</v>
      </c>
      <c r="AM26" s="253"/>
      <c r="AN26" s="251"/>
      <c r="AO26" s="253"/>
      <c r="AP26" s="253"/>
      <c r="AQ26" s="259"/>
      <c r="AR26" s="259"/>
      <c r="AS26" s="259"/>
    </row>
    <row r="27" spans="1:48" s="111" customFormat="1" ht="15" customHeight="1" thickBot="1" x14ac:dyDescent="0.3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M27" s="248"/>
      <c r="AN27" s="248"/>
      <c r="AO27" s="248"/>
      <c r="AP27" s="248"/>
      <c r="AQ27" s="261"/>
      <c r="AR27" s="261"/>
      <c r="AS27" s="261"/>
      <c r="AT27" s="248"/>
      <c r="AU27" s="248"/>
      <c r="AV27" s="248"/>
    </row>
    <row r="28" spans="1:48" s="111" customFormat="1" ht="20.100000000000001" customHeight="1" thickBot="1" x14ac:dyDescent="0.3">
      <c r="A28" s="223" t="s">
        <v>77</v>
      </c>
      <c r="B28" s="224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6"/>
      <c r="AF28" s="225"/>
      <c r="AG28" s="227"/>
      <c r="AM28" s="248"/>
      <c r="AN28" s="248"/>
      <c r="AO28" s="248"/>
      <c r="AP28" s="248"/>
      <c r="AQ28" s="261"/>
      <c r="AR28" s="261"/>
      <c r="AS28" s="261"/>
      <c r="AT28" s="248"/>
      <c r="AU28" s="248"/>
      <c r="AV28" s="248"/>
    </row>
    <row r="29" spans="1:48" s="111" customFormat="1" ht="20.100000000000001" customHeight="1" thickTop="1" x14ac:dyDescent="0.25">
      <c r="A29" s="360" t="s">
        <v>78</v>
      </c>
      <c r="B29" s="361"/>
      <c r="C29" s="361"/>
      <c r="D29" s="362"/>
      <c r="E29" s="341" t="s">
        <v>79</v>
      </c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3"/>
      <c r="AC29" s="344" t="s">
        <v>80</v>
      </c>
      <c r="AD29" s="345"/>
      <c r="AE29" s="345"/>
      <c r="AF29" s="345"/>
      <c r="AG29" s="346"/>
      <c r="AM29" s="248"/>
      <c r="AN29" s="248"/>
      <c r="AO29" s="248"/>
      <c r="AP29" s="248"/>
      <c r="AQ29" s="261"/>
      <c r="AR29" s="261"/>
      <c r="AS29" s="261"/>
      <c r="AT29" s="248"/>
      <c r="AU29" s="248"/>
      <c r="AV29" s="248"/>
    </row>
    <row r="30" spans="1:48" ht="15" customHeight="1" thickBot="1" x14ac:dyDescent="0.3">
      <c r="A30" s="350" t="s">
        <v>81</v>
      </c>
      <c r="B30" s="351"/>
      <c r="C30" s="351"/>
      <c r="D30" s="352"/>
      <c r="E30" s="353" t="s">
        <v>69</v>
      </c>
      <c r="F30" s="354"/>
      <c r="G30" s="354"/>
      <c r="H30" s="355"/>
      <c r="I30" s="356" t="s">
        <v>70</v>
      </c>
      <c r="J30" s="354"/>
      <c r="K30" s="354"/>
      <c r="L30" s="355"/>
      <c r="M30" s="356" t="s">
        <v>71</v>
      </c>
      <c r="N30" s="354"/>
      <c r="O30" s="354"/>
      <c r="P30" s="355"/>
      <c r="Q30" s="357" t="s">
        <v>72</v>
      </c>
      <c r="R30" s="351"/>
      <c r="S30" s="351"/>
      <c r="T30" s="358"/>
      <c r="U30" s="357" t="s">
        <v>73</v>
      </c>
      <c r="V30" s="351"/>
      <c r="W30" s="351"/>
      <c r="X30" s="351"/>
      <c r="Y30" s="353" t="s">
        <v>82</v>
      </c>
      <c r="Z30" s="354"/>
      <c r="AA30" s="354"/>
      <c r="AB30" s="359"/>
      <c r="AC30" s="347"/>
      <c r="AD30" s="348"/>
      <c r="AE30" s="348"/>
      <c r="AF30" s="348"/>
      <c r="AG30" s="349"/>
    </row>
    <row r="31" spans="1:48" ht="31.5" customHeight="1" thickBot="1" x14ac:dyDescent="0.3">
      <c r="A31" s="334" t="s">
        <v>12</v>
      </c>
      <c r="B31" s="335"/>
      <c r="C31" s="335"/>
      <c r="D31" s="336"/>
      <c r="E31" s="328" t="s">
        <v>12</v>
      </c>
      <c r="F31" s="329"/>
      <c r="G31" s="329"/>
      <c r="H31" s="337"/>
      <c r="I31" s="338" t="s">
        <v>12</v>
      </c>
      <c r="J31" s="329"/>
      <c r="K31" s="329"/>
      <c r="L31" s="337"/>
      <c r="M31" s="338" t="s">
        <v>12</v>
      </c>
      <c r="N31" s="329"/>
      <c r="O31" s="329"/>
      <c r="P31" s="337"/>
      <c r="Q31" s="339" t="s">
        <v>12</v>
      </c>
      <c r="R31" s="335"/>
      <c r="S31" s="335"/>
      <c r="T31" s="340"/>
      <c r="U31" s="339" t="s">
        <v>12</v>
      </c>
      <c r="V31" s="335"/>
      <c r="W31" s="335"/>
      <c r="X31" s="336"/>
      <c r="Y31" s="328" t="s">
        <v>12</v>
      </c>
      <c r="Z31" s="329"/>
      <c r="AA31" s="329"/>
      <c r="AB31" s="330"/>
      <c r="AC31" s="331" t="s">
        <v>12</v>
      </c>
      <c r="AD31" s="332"/>
      <c r="AE31" s="332"/>
      <c r="AF31" s="332"/>
      <c r="AG31" s="333"/>
    </row>
    <row r="32" spans="1:48" s="105" customFormat="1" ht="30" customHeight="1" thickBot="1" x14ac:dyDescent="0.3">
      <c r="A32" s="228" t="s">
        <v>83</v>
      </c>
      <c r="B32" s="229"/>
      <c r="C32" s="229"/>
      <c r="D32" s="230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0"/>
      <c r="AM32" s="250"/>
      <c r="AN32" s="250"/>
      <c r="AO32" s="250"/>
      <c r="AP32" s="250"/>
      <c r="AQ32" s="262"/>
      <c r="AR32" s="262"/>
      <c r="AS32" s="262"/>
      <c r="AT32" s="250"/>
      <c r="AU32" s="250"/>
      <c r="AV32" s="250"/>
    </row>
    <row r="33" spans="1:48" ht="15" customHeight="1" thickBot="1" x14ac:dyDescent="0.3"/>
    <row r="34" spans="1:48" s="113" customFormat="1" ht="20.100000000000001" customHeight="1" thickBot="1" x14ac:dyDescent="0.3">
      <c r="A34" s="232" t="s">
        <v>84</v>
      </c>
      <c r="B34" s="233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5"/>
      <c r="AM34" s="255"/>
      <c r="AN34" s="255"/>
      <c r="AO34" s="255"/>
      <c r="AP34" s="255"/>
      <c r="AQ34" s="263"/>
      <c r="AR34" s="263"/>
      <c r="AS34" s="263"/>
      <c r="AT34" s="255"/>
      <c r="AU34" s="255"/>
      <c r="AV34" s="255"/>
    </row>
    <row r="35" spans="1:48" ht="24.9" customHeight="1" x14ac:dyDescent="0.25">
      <c r="A35" s="236" t="s">
        <v>64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8" t="s">
        <v>85</v>
      </c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40"/>
    </row>
    <row r="36" spans="1:48" ht="24.9" customHeight="1" thickBot="1" x14ac:dyDescent="0.3">
      <c r="A36" s="241" t="s">
        <v>65</v>
      </c>
      <c r="B36" s="242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4" t="s">
        <v>86</v>
      </c>
      <c r="Q36" s="245"/>
      <c r="R36" s="245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7"/>
    </row>
    <row r="37" spans="1:48" ht="15" customHeight="1" x14ac:dyDescent="0.25"/>
    <row r="38" spans="1:48" ht="15" customHeight="1" x14ac:dyDescent="0.25"/>
    <row r="39" spans="1:48" ht="15" customHeight="1" x14ac:dyDescent="0.25"/>
    <row r="40" spans="1:48" ht="15" customHeight="1" x14ac:dyDescent="0.25"/>
    <row r="41" spans="1:48" ht="15" customHeight="1" x14ac:dyDescent="0.25"/>
    <row r="42" spans="1:48" ht="15" customHeight="1" x14ac:dyDescent="0.25"/>
    <row r="43" spans="1:48" ht="15" customHeight="1" x14ac:dyDescent="0.25"/>
    <row r="44" spans="1:48" ht="15" customHeight="1" x14ac:dyDescent="0.25"/>
    <row r="45" spans="1:48" ht="15" customHeight="1" x14ac:dyDescent="0.25"/>
    <row r="46" spans="1:48" ht="15" customHeight="1" x14ac:dyDescent="0.25"/>
    <row r="47" spans="1:48" ht="15" customHeight="1" x14ac:dyDescent="0.25"/>
    <row r="48" spans="1: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</sheetData>
  <sheetProtection sheet="1" objects="1" scenarios="1" selectLockedCells="1"/>
  <sortState ref="AN3:AS23">
    <sortCondition ref="AP3:AP23"/>
  </sortState>
  <mergeCells count="45">
    <mergeCell ref="E5:O5"/>
    <mergeCell ref="V5:AG5"/>
    <mergeCell ref="A2:AA2"/>
    <mergeCell ref="A3:AA3"/>
    <mergeCell ref="AB3:AC3"/>
    <mergeCell ref="AD3:AE3"/>
    <mergeCell ref="AF3:AG3"/>
    <mergeCell ref="A14:F15"/>
    <mergeCell ref="P14:U15"/>
    <mergeCell ref="V14:W14"/>
    <mergeCell ref="V15:W15"/>
    <mergeCell ref="A7:O7"/>
    <mergeCell ref="P7:AG7"/>
    <mergeCell ref="A8:O8"/>
    <mergeCell ref="P8:AD8"/>
    <mergeCell ref="A10:O10"/>
    <mergeCell ref="A11:O11"/>
    <mergeCell ref="X13:Y13"/>
    <mergeCell ref="Z13:AA13"/>
    <mergeCell ref="AB13:AC13"/>
    <mergeCell ref="AD13:AE13"/>
    <mergeCell ref="AF13:AG13"/>
    <mergeCell ref="A17:B18"/>
    <mergeCell ref="A19:B20"/>
    <mergeCell ref="A21:B22"/>
    <mergeCell ref="A23:B24"/>
    <mergeCell ref="A25:B26"/>
    <mergeCell ref="E29:AB29"/>
    <mergeCell ref="AC29:AG30"/>
    <mergeCell ref="A30:D30"/>
    <mergeCell ref="E30:H30"/>
    <mergeCell ref="I30:L30"/>
    <mergeCell ref="M30:P30"/>
    <mergeCell ref="Q30:T30"/>
    <mergeCell ref="U30:X30"/>
    <mergeCell ref="Y30:AB30"/>
    <mergeCell ref="A29:D29"/>
    <mergeCell ref="Y31:AB31"/>
    <mergeCell ref="AC31:AG31"/>
    <mergeCell ref="A31:D31"/>
    <mergeCell ref="E31:H31"/>
    <mergeCell ref="I31:L31"/>
    <mergeCell ref="M31:P31"/>
    <mergeCell ref="Q31:T31"/>
    <mergeCell ref="U31:X31"/>
  </mergeCells>
  <pageMargins left="0.59055118110236227" right="0.59055118110236227" top="0.9055118110236221" bottom="0.78740157480314965" header="0.59055118110236227" footer="0.47244094488188981"/>
  <pageSetup paperSize="9" scale="93" orientation="portrait" r:id="rId1"/>
  <headerFooter>
    <oddHeader>&amp;R&amp;G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Anleitung</vt:lpstr>
      <vt:lpstr>MASTER</vt:lpstr>
      <vt:lpstr>Gruppeneinteilung</vt:lpstr>
      <vt:lpstr>Spielplan Versand</vt:lpstr>
      <vt:lpstr>Resultate VR</vt:lpstr>
      <vt:lpstr>Schlussrangliste</vt:lpstr>
      <vt:lpstr>Spielberichte</vt:lpstr>
      <vt:lpstr>Anleitung!Druckbereich</vt:lpstr>
      <vt:lpstr>'Resultate VR'!Druckbereich</vt:lpstr>
      <vt:lpstr>Schlussrangliste!Druckbereich</vt:lpstr>
      <vt:lpstr>Spielberichte!Druckbereich</vt:lpstr>
      <vt:lpstr>'Spielplan Versand'!Druckbereich</vt:lpstr>
    </vt:vector>
  </TitlesOfParts>
  <Company>Gemeinde Flawil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Götsch Christian FLAWIL</dc:creator>
  <cp:lastModifiedBy>Christian Götsch</cp:lastModifiedBy>
  <cp:lastPrinted>2019-12-15T21:09:26Z</cp:lastPrinted>
  <dcterms:created xsi:type="dcterms:W3CDTF">2019-03-05T07:00:01Z</dcterms:created>
  <dcterms:modified xsi:type="dcterms:W3CDTF">2019-12-15T21:10:23Z</dcterms:modified>
</cp:coreProperties>
</file>